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List Report" sheetId="1" r:id="rId1"/>
  </sheets>
  <definedNames>
    <definedName name="_xlnm._FilterDatabase" localSheetId="0">'List Report'!$A$1:$G$1</definedName>
  </definedNames>
  <calcPr calcId="125725"/>
</workbook>
</file>

<file path=xl/calcChain.xml><?xml version="1.0" encoding="utf-8"?>
<calcChain xmlns="http://schemas.openxmlformats.org/spreadsheetml/2006/main">
  <c r="C192" i="1"/>
  <c r="C94"/>
  <c r="E94"/>
  <c r="C80"/>
  <c r="E80"/>
  <c r="C111"/>
  <c r="E111"/>
  <c r="C69"/>
  <c r="E69"/>
  <c r="C120"/>
  <c r="E120"/>
  <c r="C158"/>
  <c r="E158"/>
  <c r="C2"/>
  <c r="E2"/>
  <c r="C178"/>
  <c r="E178"/>
  <c r="C132"/>
  <c r="E132"/>
  <c r="C167"/>
  <c r="E167"/>
  <c r="C105"/>
  <c r="E105"/>
  <c r="C174"/>
  <c r="E174"/>
  <c r="C128"/>
  <c r="E128"/>
  <c r="C88"/>
  <c r="E88"/>
  <c r="C155"/>
  <c r="C203"/>
  <c r="E203"/>
  <c r="C53"/>
  <c r="E53"/>
  <c r="C176"/>
  <c r="E176"/>
  <c r="C83"/>
  <c r="E83"/>
  <c r="C103"/>
  <c r="E103"/>
  <c r="C98"/>
  <c r="E98"/>
  <c r="C161"/>
  <c r="E161"/>
  <c r="C97"/>
  <c r="E97"/>
  <c r="C79"/>
  <c r="E79"/>
  <c r="C44"/>
  <c r="C30"/>
  <c r="E30"/>
  <c r="C164"/>
  <c r="E164"/>
  <c r="C197"/>
  <c r="E197"/>
  <c r="C163"/>
  <c r="E163"/>
  <c r="C57"/>
  <c r="E57"/>
  <c r="C187"/>
  <c r="E187"/>
  <c r="C198"/>
  <c r="E198"/>
  <c r="C68"/>
  <c r="E68"/>
  <c r="C134"/>
  <c r="E134"/>
  <c r="C145"/>
  <c r="E145"/>
  <c r="C189"/>
  <c r="E189"/>
  <c r="C138"/>
  <c r="E138"/>
  <c r="C129"/>
  <c r="E129"/>
  <c r="C150"/>
  <c r="E150"/>
  <c r="C135"/>
  <c r="E135"/>
  <c r="C16"/>
  <c r="E16"/>
  <c r="C207"/>
  <c r="E207"/>
  <c r="C193"/>
  <c r="E193"/>
  <c r="C191"/>
  <c r="E191"/>
  <c r="C49"/>
  <c r="E49"/>
  <c r="C131"/>
  <c r="E131"/>
  <c r="C106"/>
  <c r="E106"/>
  <c r="C35"/>
  <c r="E35"/>
  <c r="C75"/>
  <c r="E75"/>
  <c r="C72"/>
  <c r="E72"/>
  <c r="C59"/>
  <c r="E59"/>
  <c r="C84"/>
  <c r="E84"/>
  <c r="C101"/>
  <c r="E101"/>
  <c r="C141"/>
  <c r="E141"/>
  <c r="C127"/>
  <c r="E127"/>
  <c r="C3"/>
  <c r="E3"/>
  <c r="C33"/>
  <c r="E33"/>
  <c r="C67"/>
  <c r="E67"/>
  <c r="C117"/>
  <c r="E117"/>
  <c r="C172"/>
  <c r="E172"/>
  <c r="C23"/>
  <c r="E23"/>
  <c r="C152"/>
  <c r="E152"/>
  <c r="C107"/>
  <c r="E107"/>
  <c r="C50"/>
  <c r="E50"/>
  <c r="C114"/>
  <c r="E114"/>
  <c r="C181"/>
  <c r="E181"/>
  <c r="C202"/>
  <c r="E202"/>
  <c r="C89"/>
  <c r="E89"/>
  <c r="C24"/>
  <c r="E24"/>
  <c r="C173"/>
  <c r="E173"/>
  <c r="C25"/>
  <c r="E25"/>
  <c r="C14"/>
  <c r="E14"/>
  <c r="C74"/>
  <c r="C32"/>
  <c r="E32"/>
  <c r="C116"/>
  <c r="E116"/>
  <c r="C170"/>
  <c r="E170"/>
  <c r="C140"/>
  <c r="E140"/>
  <c r="C206"/>
  <c r="E206"/>
  <c r="C112"/>
  <c r="E112"/>
  <c r="C102"/>
  <c r="E102"/>
  <c r="C144"/>
  <c r="E144"/>
  <c r="C9"/>
  <c r="E9"/>
  <c r="C196"/>
  <c r="E196"/>
  <c r="C70"/>
  <c r="E70"/>
  <c r="C201"/>
  <c r="E201"/>
  <c r="C194"/>
  <c r="E194"/>
  <c r="C20"/>
  <c r="E20"/>
  <c r="C15"/>
  <c r="E15"/>
  <c r="C142"/>
  <c r="E142"/>
  <c r="C22"/>
  <c r="E22"/>
  <c r="C133"/>
  <c r="E133"/>
  <c r="C29"/>
  <c r="E29"/>
  <c r="C151"/>
  <c r="E151"/>
  <c r="C159"/>
  <c r="E159"/>
  <c r="C56"/>
  <c r="E56"/>
  <c r="C147"/>
  <c r="E147"/>
  <c r="C179"/>
  <c r="E179"/>
  <c r="C182"/>
  <c r="E182"/>
  <c r="C136"/>
  <c r="E136"/>
  <c r="C27"/>
  <c r="E27"/>
  <c r="C96"/>
  <c r="C139"/>
  <c r="E139"/>
  <c r="C110"/>
  <c r="E110"/>
  <c r="C95"/>
  <c r="E95"/>
  <c r="C55"/>
  <c r="C190"/>
  <c r="E190"/>
  <c r="C86"/>
  <c r="E86"/>
  <c r="C205"/>
  <c r="E205"/>
  <c r="C52"/>
  <c r="E52"/>
  <c r="C168"/>
  <c r="E168"/>
  <c r="C204"/>
  <c r="E204"/>
  <c r="C99"/>
  <c r="E99"/>
  <c r="C146"/>
  <c r="E146"/>
  <c r="C104"/>
  <c r="E104"/>
  <c r="C26"/>
  <c r="E26"/>
  <c r="C156"/>
  <c r="E156"/>
  <c r="C18"/>
  <c r="E18"/>
  <c r="C149"/>
  <c r="E149"/>
  <c r="C125"/>
  <c r="E125"/>
  <c r="C208"/>
  <c r="E208"/>
  <c r="C38"/>
  <c r="C169"/>
  <c r="E169"/>
  <c r="C180"/>
  <c r="E180"/>
  <c r="C195"/>
  <c r="E195"/>
  <c r="C13"/>
  <c r="E13"/>
  <c r="C58"/>
  <c r="E58"/>
  <c r="C122"/>
  <c r="E122"/>
  <c r="C31"/>
  <c r="E31"/>
  <c r="C42"/>
  <c r="E42"/>
  <c r="C92"/>
  <c r="E92"/>
  <c r="C73"/>
  <c r="E73"/>
  <c r="C157"/>
  <c r="E157"/>
  <c r="C71"/>
  <c r="C54"/>
  <c r="E54"/>
  <c r="C21"/>
  <c r="C7"/>
  <c r="C65"/>
  <c r="E65"/>
  <c r="C123"/>
  <c r="E123"/>
  <c r="C46"/>
  <c r="E46"/>
  <c r="C51"/>
  <c r="E51"/>
  <c r="C43"/>
  <c r="E43"/>
  <c r="C188"/>
  <c r="E188"/>
  <c r="C41"/>
  <c r="E41"/>
  <c r="C118"/>
  <c r="E118"/>
  <c r="C66"/>
  <c r="E66"/>
  <c r="C126"/>
  <c r="E126"/>
  <c r="C108"/>
  <c r="E108"/>
  <c r="C186"/>
  <c r="E186"/>
  <c r="C19"/>
  <c r="E19"/>
  <c r="C177"/>
  <c r="E177"/>
  <c r="C165"/>
  <c r="E165"/>
  <c r="C100"/>
  <c r="E100"/>
  <c r="C81"/>
  <c r="E81"/>
  <c r="C93"/>
  <c r="E93"/>
  <c r="C87"/>
  <c r="E87"/>
  <c r="C77"/>
  <c r="C63"/>
  <c r="E63"/>
  <c r="C200"/>
  <c r="E200"/>
  <c r="C121"/>
  <c r="E121"/>
  <c r="C82"/>
  <c r="E82"/>
  <c r="C5"/>
  <c r="E5"/>
  <c r="C109"/>
  <c r="E109"/>
  <c r="C119"/>
  <c r="E119"/>
  <c r="C34"/>
  <c r="E34"/>
  <c r="C48"/>
  <c r="E48"/>
  <c r="C85"/>
  <c r="E85"/>
  <c r="C115"/>
  <c r="E115"/>
  <c r="C184"/>
  <c r="E184"/>
  <c r="C183"/>
  <c r="E183"/>
  <c r="C10"/>
  <c r="E10"/>
  <c r="C45"/>
  <c r="E45"/>
  <c r="C166"/>
  <c r="E166"/>
  <c r="C4"/>
  <c r="E4"/>
  <c r="C6"/>
  <c r="E6"/>
  <c r="C11"/>
  <c r="E11"/>
  <c r="C64"/>
  <c r="E64"/>
  <c r="C62"/>
  <c r="E62"/>
  <c r="C185"/>
  <c r="E185"/>
  <c r="C12"/>
  <c r="E12"/>
  <c r="C137"/>
  <c r="C37"/>
  <c r="E37"/>
  <c r="C148"/>
  <c r="E148"/>
  <c r="C154"/>
  <c r="E154"/>
  <c r="C124"/>
  <c r="E124"/>
  <c r="C113"/>
  <c r="E113"/>
  <c r="C36"/>
  <c r="E36"/>
  <c r="C90"/>
  <c r="E90"/>
  <c r="C199"/>
  <c r="E199"/>
  <c r="C175"/>
  <c r="E175"/>
  <c r="C171"/>
  <c r="E171"/>
  <c r="C143"/>
  <c r="E143"/>
  <c r="C47"/>
  <c r="E47"/>
  <c r="C78"/>
  <c r="E78"/>
  <c r="C39"/>
  <c r="E39"/>
  <c r="C160"/>
  <c r="E160"/>
  <c r="C153"/>
  <c r="E153"/>
  <c r="C61"/>
  <c r="E61"/>
  <c r="C91"/>
  <c r="E91"/>
  <c r="C162"/>
  <c r="C28"/>
  <c r="C76"/>
  <c r="C60"/>
  <c r="C130"/>
  <c r="C40"/>
  <c r="C17"/>
  <c r="C8"/>
</calcChain>
</file>

<file path=xl/sharedStrings.xml><?xml version="1.0" encoding="utf-8"?>
<sst xmlns="http://schemas.openxmlformats.org/spreadsheetml/2006/main" count="414" uniqueCount="233">
  <si>
    <t>#</t>
  </si>
  <si>
    <t>Input IDs</t>
  </si>
  <si>
    <t>Gene Symbol</t>
  </si>
  <si>
    <t>Object Type</t>
  </si>
  <si>
    <t>Description</t>
  </si>
  <si>
    <t>2810</t>
  </si>
  <si>
    <t>Signal</t>
  </si>
  <si>
    <t>p-value</t>
  </si>
  <si>
    <t>Generic binding protein</t>
  </si>
  <si>
    <t>1978</t>
  </si>
  <si>
    <t>10257</t>
  </si>
  <si>
    <t>Generic channel</t>
  </si>
  <si>
    <t>116285</t>
  </si>
  <si>
    <t>Generic enzyme</t>
  </si>
  <si>
    <t>158</t>
  </si>
  <si>
    <t>224</t>
  </si>
  <si>
    <t>217</t>
  </si>
  <si>
    <t>23600</t>
  </si>
  <si>
    <t>347902</t>
  </si>
  <si>
    <t>316</t>
  </si>
  <si>
    <t>147495</t>
  </si>
  <si>
    <t>Protein</t>
  </si>
  <si>
    <t>328</t>
  </si>
  <si>
    <t>60489</t>
  </si>
  <si>
    <t>9914</t>
  </si>
  <si>
    <t>545</t>
  </si>
  <si>
    <t>Protein kinase</t>
  </si>
  <si>
    <t>120</t>
  </si>
  <si>
    <t>302</t>
  </si>
  <si>
    <t>27087</t>
  </si>
  <si>
    <t>10409</t>
  </si>
  <si>
    <t>636</t>
  </si>
  <si>
    <t>153</t>
  </si>
  <si>
    <t>GPCR</t>
  </si>
  <si>
    <t>728568</t>
  </si>
  <si>
    <t>59271</t>
  </si>
  <si>
    <t>391356</t>
  </si>
  <si>
    <t>203197</t>
  </si>
  <si>
    <t>776</t>
  </si>
  <si>
    <t>Voltage-gated ion channel</t>
  </si>
  <si>
    <t>389206</t>
  </si>
  <si>
    <t>885</t>
  </si>
  <si>
    <t>Receptor ligand</t>
  </si>
  <si>
    <t>290</t>
  </si>
  <si>
    <t>Metalloprotease</t>
  </si>
  <si>
    <t>952</t>
  </si>
  <si>
    <t>1164</t>
  </si>
  <si>
    <t>9124</t>
  </si>
  <si>
    <t>1297</t>
  </si>
  <si>
    <t>51241</t>
  </si>
  <si>
    <t>594855</t>
  </si>
  <si>
    <t>Transporter</t>
  </si>
  <si>
    <t>83716</t>
  </si>
  <si>
    <t>1466</t>
  </si>
  <si>
    <t>1428</t>
  </si>
  <si>
    <t>1524</t>
  </si>
  <si>
    <t>1577</t>
  </si>
  <si>
    <t>1508</t>
  </si>
  <si>
    <t>Generic protease</t>
  </si>
  <si>
    <t>9073</t>
  </si>
  <si>
    <t>2697</t>
  </si>
  <si>
    <t>1475</t>
  </si>
  <si>
    <t>4681</t>
  </si>
  <si>
    <t>4953</t>
  </si>
  <si>
    <t>27122</t>
  </si>
  <si>
    <t>1745</t>
  </si>
  <si>
    <t>Transcription factor</t>
  </si>
  <si>
    <t>1767</t>
  </si>
  <si>
    <t>64118</t>
  </si>
  <si>
    <t>26098</t>
  </si>
  <si>
    <t>80237</t>
  </si>
  <si>
    <t>8507</t>
  </si>
  <si>
    <t>10611</t>
  </si>
  <si>
    <t>956</t>
  </si>
  <si>
    <t>2034</t>
  </si>
  <si>
    <t>2078</t>
  </si>
  <si>
    <t>5597</t>
  </si>
  <si>
    <t>54431</t>
  </si>
  <si>
    <t>10205</t>
  </si>
  <si>
    <t>10278</t>
  </si>
  <si>
    <t>4072</t>
  </si>
  <si>
    <t>642273</t>
  </si>
  <si>
    <t>79850</t>
  </si>
  <si>
    <t>2258</t>
  </si>
  <si>
    <t>85462</t>
  </si>
  <si>
    <t>2274</t>
  </si>
  <si>
    <t>23767</t>
  </si>
  <si>
    <t>2330</t>
  </si>
  <si>
    <t>57600</t>
  </si>
  <si>
    <t>94234</t>
  </si>
  <si>
    <t>2331</t>
  </si>
  <si>
    <t>2650</t>
  </si>
  <si>
    <t>2562</t>
  </si>
  <si>
    <t>Ligand-gated ion channel</t>
  </si>
  <si>
    <t>51809</t>
  </si>
  <si>
    <t>2619</t>
  </si>
  <si>
    <t>2651</t>
  </si>
  <si>
    <t>2908</t>
  </si>
  <si>
    <t>118425</t>
  </si>
  <si>
    <t>2762</t>
  </si>
  <si>
    <t>92292</t>
  </si>
  <si>
    <t>79158</t>
  </si>
  <si>
    <t>51280</t>
  </si>
  <si>
    <t>23171</t>
  </si>
  <si>
    <t>2982</t>
  </si>
  <si>
    <t>3958</t>
  </si>
  <si>
    <t>Generic receptor</t>
  </si>
  <si>
    <t>51053</t>
  </si>
  <si>
    <t>10551</t>
  </si>
  <si>
    <t>3109</t>
  </si>
  <si>
    <t>3133</t>
  </si>
  <si>
    <t>3223</t>
  </si>
  <si>
    <t>3236</t>
  </si>
  <si>
    <t>3642</t>
  </si>
  <si>
    <t>3399</t>
  </si>
  <si>
    <t>3400</t>
  </si>
  <si>
    <t>131096</t>
  </si>
  <si>
    <t>114818</t>
  </si>
  <si>
    <t>25984</t>
  </si>
  <si>
    <t>3866</t>
  </si>
  <si>
    <t>55353</t>
  </si>
  <si>
    <t>145837</t>
  </si>
  <si>
    <t>RNA</t>
  </si>
  <si>
    <t>6160</t>
  </si>
  <si>
    <t>8495</t>
  </si>
  <si>
    <t>55534</t>
  </si>
  <si>
    <t>9053</t>
  </si>
  <si>
    <t>64087</t>
  </si>
  <si>
    <t>4212</t>
  </si>
  <si>
    <t>9645</t>
  </si>
  <si>
    <t>642587</t>
  </si>
  <si>
    <t>65108</t>
  </si>
  <si>
    <t>744</t>
  </si>
  <si>
    <t>4477</t>
  </si>
  <si>
    <t>4552</t>
  </si>
  <si>
    <t>25878</t>
  </si>
  <si>
    <t>50804</t>
  </si>
  <si>
    <t>25924</t>
  </si>
  <si>
    <t>Regulators (GDI, GAP, GEF)</t>
  </si>
  <si>
    <t>26509</t>
  </si>
  <si>
    <t>4646</t>
  </si>
  <si>
    <t>9</t>
  </si>
  <si>
    <t>57126</t>
  </si>
  <si>
    <t>4744</t>
  </si>
  <si>
    <t>4869</t>
  </si>
  <si>
    <t>123803</t>
  </si>
  <si>
    <t>59277</t>
  </si>
  <si>
    <t>4311</t>
  </si>
  <si>
    <t>81285</t>
  </si>
  <si>
    <t>645974</t>
  </si>
  <si>
    <t>25849</t>
  </si>
  <si>
    <t>56126</t>
  </si>
  <si>
    <t>57717</t>
  </si>
  <si>
    <t>9518</t>
  </si>
  <si>
    <t>10455</t>
  </si>
  <si>
    <t>55003</t>
  </si>
  <si>
    <t>5567</t>
  </si>
  <si>
    <t>51365</t>
  </si>
  <si>
    <t>Generic phospholipase</t>
  </si>
  <si>
    <t>8605</t>
  </si>
  <si>
    <t>7941</t>
  </si>
  <si>
    <t>64208</t>
  </si>
  <si>
    <t>55</t>
  </si>
  <si>
    <t>Protein phosphatase</t>
  </si>
  <si>
    <t>84366</t>
  </si>
  <si>
    <t>7837</t>
  </si>
  <si>
    <t>9185</t>
  </si>
  <si>
    <t>28984</t>
  </si>
  <si>
    <t>6001</t>
  </si>
  <si>
    <t>6038</t>
  </si>
  <si>
    <t>8766</t>
  </si>
  <si>
    <t>RAS - superfamily</t>
  </si>
  <si>
    <t>83871</t>
  </si>
  <si>
    <t>5909</t>
  </si>
  <si>
    <t>390</t>
  </si>
  <si>
    <t>200916</t>
  </si>
  <si>
    <t>6307</t>
  </si>
  <si>
    <t>59342</t>
  </si>
  <si>
    <t>57147</t>
  </si>
  <si>
    <t>10807</t>
  </si>
  <si>
    <t>221935</t>
  </si>
  <si>
    <t>57630</t>
  </si>
  <si>
    <t>22941</t>
  </si>
  <si>
    <t>6493</t>
  </si>
  <si>
    <t>6563</t>
  </si>
  <si>
    <t>51310</t>
  </si>
  <si>
    <t>8501</t>
  </si>
  <si>
    <t>64094</t>
  </si>
  <si>
    <t>6659</t>
  </si>
  <si>
    <t>93349</t>
  </si>
  <si>
    <t>6695</t>
  </si>
  <si>
    <t>79689</t>
  </si>
  <si>
    <t>55333</t>
  </si>
  <si>
    <t>81855</t>
  </si>
  <si>
    <t>2040</t>
  </si>
  <si>
    <t>5358</t>
  </si>
  <si>
    <t>56892</t>
  </si>
  <si>
    <t>56165</t>
  </si>
  <si>
    <t>23066</t>
  </si>
  <si>
    <t>23671</t>
  </si>
  <si>
    <t>130733</t>
  </si>
  <si>
    <t>27324</t>
  </si>
  <si>
    <t>54795</t>
  </si>
  <si>
    <t>23705</t>
  </si>
  <si>
    <t>7262</t>
  </si>
  <si>
    <t>7291</t>
  </si>
  <si>
    <t>7277</t>
  </si>
  <si>
    <t>6675</t>
  </si>
  <si>
    <t>115426</t>
  </si>
  <si>
    <t>219699</t>
  </si>
  <si>
    <t>11045</t>
  </si>
  <si>
    <t>7422</t>
  </si>
  <si>
    <t>10810</t>
  </si>
  <si>
    <t>23160</t>
  </si>
  <si>
    <t>11197</t>
  </si>
  <si>
    <t>79683</t>
  </si>
  <si>
    <t>150244</t>
  </si>
  <si>
    <t>26137</t>
  </si>
  <si>
    <t>118472</t>
  </si>
  <si>
    <t>80110</t>
  </si>
  <si>
    <t>284370</t>
  </si>
  <si>
    <t>152485</t>
  </si>
  <si>
    <t>27151</t>
  </si>
  <si>
    <t>4609</t>
  </si>
  <si>
    <t>84273</t>
  </si>
  <si>
    <t>100130232</t>
  </si>
  <si>
    <t>100505989</t>
  </si>
  <si>
    <t>100506289</t>
  </si>
  <si>
    <t>100506380</t>
  </si>
  <si>
    <t>100507008</t>
  </si>
  <si>
    <t>100507303</t>
  </si>
  <si>
    <t>728606</t>
  </si>
  <si>
    <t>644844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</si>
</sst>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horizontal="right" vertical="top" wrapText="1"/>
    </xf>
    <xf numFmtId="0" fontId="1" fillId="7" borderId="1" xfId="0" applyFont="1" applyFill="1" applyBorder="1" applyAlignment="1">
      <alignment horizontal="right" vertical="top" wrapText="1"/>
    </xf>
    <xf numFmtId="0" fontId="2" fillId="8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right" vertical="top" wrapText="1"/>
    </xf>
    <xf numFmtId="0" fontId="2" fillId="10" borderId="1" xfId="0" applyFont="1" applyFill="1" applyBorder="1" applyAlignment="1">
      <alignment horizontal="right" vertical="top" wrapText="1"/>
    </xf>
    <xf numFmtId="0" fontId="2" fillId="11" borderId="1" xfId="0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7" fillId="0" borderId="3" xfId="0" applyFont="1" applyBorder="1" applyAlignment="1">
      <alignment vertical="top" wrapText="1"/>
    </xf>
    <xf numFmtId="0" fontId="4" fillId="1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5" fillId="13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B050"/>
      <rgbColor rgb="00000080"/>
      <rgbColor rgb="00808000"/>
      <rgbColor rgb="00538ED5"/>
      <rgbColor rgb="00F79646"/>
      <rgbColor rgb="00C0C0C0"/>
      <rgbColor rgb="005A5A5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E0E0FF"/>
      <rgbColor rgb="00C0C0FF"/>
      <rgbColor rgb="00A0A0FF"/>
      <rgbColor rgb="008080FF"/>
      <rgbColor rgb="006060FF"/>
      <rgbColor rgb="004040FF"/>
      <rgbColor rgb="002020FF"/>
      <rgbColor rgb="000000FF"/>
      <rgbColor rgb="00FFE0E0"/>
      <rgbColor rgb="00FFC0C0"/>
      <rgbColor rgb="00FFA0A0"/>
      <rgbColor rgb="00FF8080"/>
      <rgbColor rgb="00FF6060"/>
      <rgbColor rgb="00FF4040"/>
      <rgbColor rgb="00FF2020"/>
      <rgbColor rgb="00FF0000"/>
      <rgbColor rgb="00969696"/>
      <rgbColor rgb="00FF99CC"/>
      <rgbColor rgb="00808000"/>
      <rgbColor rgb="0033CCCC"/>
      <rgbColor rgb="0099CC00"/>
      <rgbColor rgb="00CC99FF"/>
      <rgbColor rgb="00FFFF99"/>
      <rgbColor rgb="00CCFFCC"/>
      <rgbColor rgb="00C0C0C0"/>
      <rgbColor rgb="0099CCFF"/>
      <rgbColor rgb="00FFCC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08"/>
  <sheetViews>
    <sheetView tabSelected="1" zoomScale="90" workbookViewId="0">
      <pane xSplit="2" ySplit="1" topLeftCell="C2" activePane="bottomRight" state="frozen"/>
      <selection pane="topRight"/>
      <selection pane="bottomLeft"/>
      <selection pane="bottomRight" activeCell="O7" sqref="O7"/>
    </sheetView>
  </sheetViews>
  <sheetFormatPr defaultRowHeight="12.75"/>
  <cols>
    <col min="1" max="1" width="7" customWidth="1"/>
    <col min="2" max="5" width="14" customWidth="1"/>
    <col min="6" max="7" width="10" customWidth="1"/>
  </cols>
  <sheetData>
    <row r="1" spans="1:7" ht="37.5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6" t="s">
        <v>6</v>
      </c>
      <c r="G1" s="17" t="s">
        <v>7</v>
      </c>
    </row>
    <row r="2" spans="1:7" ht="60" customHeight="1">
      <c r="A2" s="14">
        <v>1</v>
      </c>
      <c r="B2" s="15" t="s">
        <v>17</v>
      </c>
      <c r="C2" s="12" t="str">
        <f>HYPERLINK("http://portal.genego.com/cgi/entity_page.cgi?term=20&amp;id=-1540006176","AMACR")</f>
        <v>AMACR</v>
      </c>
      <c r="D2" s="14" t="s">
        <v>13</v>
      </c>
      <c r="E2" s="12" t="str">
        <f>HYPERLINK("http://portal.genego.com/cgi/entity_page.cgi?term=100&amp;id=-1299228967","Alpha-methylacyl-CoA racemase")</f>
        <v>Alpha-methylacyl-CoA racemase</v>
      </c>
      <c r="F2" s="1">
        <v>19.0985327966638</v>
      </c>
      <c r="G2" s="11">
        <v>5.1556220000000001E-12</v>
      </c>
    </row>
    <row r="3" spans="1:7" ht="60" customHeight="1">
      <c r="A3" s="14">
        <v>2</v>
      </c>
      <c r="B3" s="15" t="s">
        <v>75</v>
      </c>
      <c r="C3" s="12" t="str">
        <f>HYPERLINK("http://portal.genego.com/cgi/entity_page.cgi?term=20&amp;id=583554407","ERG")</f>
        <v>ERG</v>
      </c>
      <c r="D3" s="14" t="s">
        <v>66</v>
      </c>
      <c r="E3" s="12" t="str">
        <f>HYPERLINK("http://portal.genego.com/cgi/entity_page.cgi?term=100&amp;id=4334","Transcriptional regulator ERG")</f>
        <v>Transcriptional regulator ERG</v>
      </c>
      <c r="F3" s="2">
        <v>10.446419313112401</v>
      </c>
      <c r="G3" s="11">
        <v>4.27553E-13</v>
      </c>
    </row>
    <row r="4" spans="1:7" ht="60" customHeight="1">
      <c r="A4" s="14">
        <v>3</v>
      </c>
      <c r="B4" s="15" t="s">
        <v>199</v>
      </c>
      <c r="C4" s="12" t="str">
        <f>HYPERLINK("http://portal.genego.com/cgi/entity_page.cgi?term=20&amp;id=-1650855877","TMEFF2")</f>
        <v>TMEFF2</v>
      </c>
      <c r="D4" s="14" t="s">
        <v>8</v>
      </c>
      <c r="E4" s="12" t="str">
        <f>HYPERLINK("http://portal.genego.com/cgi/entity_page.cgi?term=100&amp;id=-1761088628","Tomoregulin-2")</f>
        <v>Tomoregulin-2</v>
      </c>
      <c r="F4" s="2">
        <v>10.016115262606601</v>
      </c>
      <c r="G4" s="11">
        <v>3.3719539999999999E-2</v>
      </c>
    </row>
    <row r="5" spans="1:7" ht="60" customHeight="1">
      <c r="A5" s="14">
        <v>4</v>
      </c>
      <c r="B5" s="15" t="s">
        <v>187</v>
      </c>
      <c r="C5" s="12" t="str">
        <f>HYPERLINK("http://portal.genego.com/cgi/entity_page.cgi?term=20&amp;id=478056526","SMOC2")</f>
        <v>SMOC2</v>
      </c>
      <c r="D5" s="14" t="s">
        <v>8</v>
      </c>
      <c r="E5" s="12" t="str">
        <f>HYPERLINK("http://portal.genego.com/cgi/entity_page.cgi?term=100&amp;id=-1349363680","SPARC-related modular calcium-binding protein 2")</f>
        <v>SPARC-related modular calcium-binding protein 2</v>
      </c>
      <c r="F5" s="2">
        <v>9.9777628860948706</v>
      </c>
      <c r="G5" s="11">
        <v>4.6839049999999999E-7</v>
      </c>
    </row>
    <row r="6" spans="1:7" ht="60" customHeight="1">
      <c r="A6" s="14">
        <v>5</v>
      </c>
      <c r="B6" s="15" t="s">
        <v>200</v>
      </c>
      <c r="C6" s="12" t="str">
        <f>HYPERLINK("http://portal.genego.com/cgi/entity_page.cgi?term=20&amp;id=130733","TMEM178A")</f>
        <v>TMEM178A</v>
      </c>
      <c r="D6" s="14" t="s">
        <v>8</v>
      </c>
      <c r="E6" s="12" t="str">
        <f>HYPERLINK("http://portal.genego.com/cgi/entity_page.cgi?term=100&amp;id=-905275735","Transmembrane protein 178")</f>
        <v>Transmembrane protein 178</v>
      </c>
      <c r="F6" s="3">
        <v>8.0199979506343606</v>
      </c>
      <c r="G6" s="11">
        <v>2.4491970000000002E-3</v>
      </c>
    </row>
    <row r="7" spans="1:7" ht="60" customHeight="1">
      <c r="A7" s="14">
        <v>6</v>
      </c>
      <c r="B7" s="15" t="s">
        <v>160</v>
      </c>
      <c r="C7" s="12" t="str">
        <f>HYPERLINK("http://portal.genego.com/cgi/entity_page.cgi?term=20&amp;id=-1249149631","PLA2G7")</f>
        <v>PLA2G7</v>
      </c>
      <c r="D7" s="14" t="s">
        <v>158</v>
      </c>
      <c r="E7" s="12"/>
      <c r="F7" s="3">
        <v>7.1493467964542097</v>
      </c>
      <c r="G7" s="11">
        <v>1.9332689999999999E-4</v>
      </c>
    </row>
    <row r="8" spans="1:7" ht="60" customHeight="1">
      <c r="A8" s="14">
        <v>7</v>
      </c>
      <c r="B8" s="15" t="s">
        <v>232</v>
      </c>
      <c r="C8" s="12" t="str">
        <f>HYPERLINK("http://portal.genego.com/cgi/entity_page.cgi?term=20&amp;id=-1310632743","PHGR1")</f>
        <v>PHGR1</v>
      </c>
      <c r="D8" s="14" t="s">
        <v>21</v>
      </c>
      <c r="E8" s="12"/>
      <c r="F8" s="4">
        <v>5.7023789744898803</v>
      </c>
      <c r="G8" s="11">
        <v>9.6695759999999992E-3</v>
      </c>
    </row>
    <row r="9" spans="1:7" ht="60" customHeight="1">
      <c r="A9" s="14">
        <v>8</v>
      </c>
      <c r="B9" s="15" t="s">
        <v>102</v>
      </c>
      <c r="C9" s="12" t="str">
        <f>HYPERLINK("http://portal.genego.com/cgi/entity_page.cgi?term=20&amp;id=-676192121","GOLM1")</f>
        <v>GOLM1</v>
      </c>
      <c r="D9" s="14" t="s">
        <v>21</v>
      </c>
      <c r="E9" s="12" t="str">
        <f>HYPERLINK("http://portal.genego.com/cgi/entity_page.cgi?term=100&amp;id=6350","Golgi membrane protein 1")</f>
        <v>Golgi membrane protein 1</v>
      </c>
      <c r="F9" s="4">
        <v>5.5650047546997596</v>
      </c>
      <c r="G9" s="11">
        <v>1.3673029999999999E-2</v>
      </c>
    </row>
    <row r="10" spans="1:7" ht="60" customHeight="1">
      <c r="A10" s="14">
        <v>9</v>
      </c>
      <c r="B10" s="15" t="s">
        <v>196</v>
      </c>
      <c r="C10" s="12" t="str">
        <f>HYPERLINK("http://portal.genego.com/cgi/entity_page.cgi?term=20&amp;id=854421167","C8orf4")</f>
        <v>C8orf4</v>
      </c>
      <c r="D10" s="14" t="s">
        <v>21</v>
      </c>
      <c r="E10" s="12" t="str">
        <f>HYPERLINK("http://portal.genego.com/cgi/entity_page.cgi?term=100&amp;id=-2041376641","Uncharacterized protein C8orf4")</f>
        <v>Uncharacterized protein C8orf4</v>
      </c>
      <c r="F10" s="4">
        <v>5.4831933292878796</v>
      </c>
      <c r="G10" s="11">
        <v>1.6554699999999999E-2</v>
      </c>
    </row>
    <row r="11" spans="1:7" ht="60" customHeight="1">
      <c r="A11" s="14">
        <v>10</v>
      </c>
      <c r="B11" s="15" t="s">
        <v>201</v>
      </c>
      <c r="C11" s="12" t="str">
        <f>HYPERLINK("http://portal.genego.com/cgi/entity_page.cgi?term=20&amp;id=1315996924","TOX3")</f>
        <v>TOX3</v>
      </c>
      <c r="D11" s="14" t="s">
        <v>8</v>
      </c>
      <c r="E11" s="12" t="str">
        <f>HYPERLINK("http://portal.genego.com/cgi/entity_page.cgi?term=100&amp;id=-557241639","TOX high mobility group box family member 3")</f>
        <v>TOX high mobility group box family member 3</v>
      </c>
      <c r="F11" s="4">
        <v>5.4637543758435898</v>
      </c>
      <c r="G11" s="11">
        <v>1.430086E-2</v>
      </c>
    </row>
    <row r="12" spans="1:7" ht="60" customHeight="1">
      <c r="A12" s="14">
        <v>11</v>
      </c>
      <c r="B12" s="15" t="s">
        <v>205</v>
      </c>
      <c r="C12" s="12" t="str">
        <f>HYPERLINK("http://portal.genego.com/cgi/entity_page.cgi?term=20&amp;id=-1609997432","TWIST1")</f>
        <v>TWIST1</v>
      </c>
      <c r="D12" s="14" t="s">
        <v>66</v>
      </c>
      <c r="E12" s="12" t="str">
        <f>HYPERLINK("http://portal.genego.com/cgi/entity_page.cgi?term=100&amp;id=2826","Twist-related protein 1")</f>
        <v>Twist-related protein 1</v>
      </c>
      <c r="F12" s="4">
        <v>5.24971247650946</v>
      </c>
      <c r="G12" s="11">
        <v>4.5158290000000002E-6</v>
      </c>
    </row>
    <row r="13" spans="1:7" ht="60" customHeight="1">
      <c r="A13" s="14">
        <v>12</v>
      </c>
      <c r="B13" s="15" t="s">
        <v>148</v>
      </c>
      <c r="C13" s="12" t="str">
        <f>HYPERLINK("http://portal.genego.com/cgi/entity_page.cgi?term=20&amp;id=1152348078","OR51E2")</f>
        <v>OR51E2</v>
      </c>
      <c r="D13" s="14" t="s">
        <v>33</v>
      </c>
      <c r="E13" s="12" t="str">
        <f>HYPERLINK("http://portal.genego.com/cgi/entity_page.cgi?term=100&amp;id=-1033483342","Olfactory receptor 51E2")</f>
        <v>Olfactory receptor 51E2</v>
      </c>
      <c r="F13" s="4">
        <v>5.2015778985015002</v>
      </c>
      <c r="G13" s="11">
        <v>8.1831560000000005E-3</v>
      </c>
    </row>
    <row r="14" spans="1:7" ht="60" customHeight="1">
      <c r="A14" s="14">
        <v>13</v>
      </c>
      <c r="B14" s="15" t="s">
        <v>91</v>
      </c>
      <c r="C14" s="12" t="str">
        <f>HYPERLINK("http://portal.genego.com/cgi/entity_page.cgi?term=20&amp;id=336174712","GCNT1")</f>
        <v>GCNT1</v>
      </c>
      <c r="D14" s="14" t="s">
        <v>13</v>
      </c>
      <c r="E14" s="12" t="str">
        <f>HYPERLINK("http://portal.genego.com/cgi/entity_page.cgi?term=100&amp;id=9175","Beta-1,3-galactosyl-O-glycosyl-glycoprotein beta-1,6-N-acetylglucosaminyltransferase")</f>
        <v>Beta-1,3-galactosyl-O-glycosyl-glycoprotein beta-1,6-N-acetylglucosaminyltransferase</v>
      </c>
      <c r="F14" s="4">
        <v>5.10121401725754</v>
      </c>
      <c r="G14" s="11">
        <v>8.9888320000000003E-6</v>
      </c>
    </row>
    <row r="15" spans="1:7" ht="60" customHeight="1">
      <c r="A15" s="14">
        <v>14</v>
      </c>
      <c r="B15" s="15" t="s">
        <v>109</v>
      </c>
      <c r="C15" s="12" t="str">
        <f>HYPERLINK("http://portal.genego.com/cgi/entity_page.cgi?term=20&amp;id=-752255271","HLA-DMB")</f>
        <v>HLA-DMB</v>
      </c>
      <c r="D15" s="14" t="s">
        <v>106</v>
      </c>
      <c r="E15" s="12" t="str">
        <f>HYPERLINK("http://portal.genego.com/cgi/entity_page.cgi?term=100&amp;id=352","HLA class II histocompatibility antigen, DM beta chain")</f>
        <v>HLA class II histocompatibility antigen, DM beta chain</v>
      </c>
      <c r="F15" s="4">
        <v>5.0089256568017602</v>
      </c>
      <c r="G15" s="11">
        <v>4.3590929999999998E-5</v>
      </c>
    </row>
    <row r="16" spans="1:7" ht="60" customHeight="1">
      <c r="A16" s="14">
        <v>15</v>
      </c>
      <c r="B16" s="15" t="s">
        <v>59</v>
      </c>
      <c r="C16" s="12" t="str">
        <f>HYPERLINK("http://portal.genego.com/cgi/entity_page.cgi?term=20&amp;id=-880536836","CLDN8")</f>
        <v>CLDN8</v>
      </c>
      <c r="D16" s="14" t="s">
        <v>8</v>
      </c>
      <c r="E16" s="12" t="str">
        <f>HYPERLINK("http://portal.genego.com/cgi/entity_page.cgi?term=100&amp;id=-1583138918","Claudin-8")</f>
        <v>Claudin-8</v>
      </c>
      <c r="F16" s="4">
        <v>4.9891907986841897</v>
      </c>
      <c r="G16" s="11">
        <v>1.5801459999999999E-3</v>
      </c>
    </row>
    <row r="17" spans="1:7" ht="60" customHeight="1">
      <c r="A17" s="14">
        <v>16</v>
      </c>
      <c r="B17" s="15" t="s">
        <v>231</v>
      </c>
      <c r="C17" s="12" t="str">
        <f>HYPERLINK("http://portal.genego.com/cgi/entity_page.cgi?term=20&amp;id=-369237880","LOC728606")</f>
        <v>LOC728606</v>
      </c>
      <c r="D17" s="14"/>
      <c r="E17" s="12"/>
      <c r="F17" s="4">
        <v>4.8220886285897304</v>
      </c>
      <c r="G17" s="11">
        <v>9.1384029999999996E-4</v>
      </c>
    </row>
    <row r="18" spans="1:7" ht="60" customHeight="1">
      <c r="A18" s="14">
        <v>17</v>
      </c>
      <c r="B18" s="15" t="s">
        <v>140</v>
      </c>
      <c r="C18" s="12" t="str">
        <f>HYPERLINK("http://portal.genego.com/cgi/entity_page.cgi?term=20&amp;id=-822112528","MYO6")</f>
        <v>MYO6</v>
      </c>
      <c r="D18" s="14" t="s">
        <v>8</v>
      </c>
      <c r="E18" s="12" t="str">
        <f>HYPERLINK("http://portal.genego.com/cgi/entity_page.cgi?term=100&amp;id=-1672001457","Unconventional myosin-VI")</f>
        <v>Unconventional myosin-VI</v>
      </c>
      <c r="F18" s="4">
        <v>4.7589081881112403</v>
      </c>
      <c r="G18" s="11">
        <v>1.1279729999999999E-6</v>
      </c>
    </row>
    <row r="19" spans="1:7" ht="60" customHeight="1">
      <c r="A19" s="14">
        <v>18</v>
      </c>
      <c r="B19" s="15" t="s">
        <v>175</v>
      </c>
      <c r="C19" s="12" t="str">
        <f>HYPERLINK("http://portal.genego.com/cgi/entity_page.cgi?term=20&amp;id=-1542957756","RPL22L1")</f>
        <v>RPL22L1</v>
      </c>
      <c r="D19" s="14" t="s">
        <v>8</v>
      </c>
      <c r="E19" s="12" t="str">
        <f>HYPERLINK("http://portal.genego.com/cgi/entity_page.cgi?term=100&amp;id=-2013265864","60S ribosomal protein L22-like 1")</f>
        <v>60S ribosomal protein L22-like 1</v>
      </c>
      <c r="F19" s="4">
        <v>4.7564109951435896</v>
      </c>
      <c r="G19" s="11">
        <v>1.145031E-4</v>
      </c>
    </row>
    <row r="20" spans="1:7" ht="60" customHeight="1">
      <c r="A20" s="14">
        <v>19</v>
      </c>
      <c r="B20" s="15" t="s">
        <v>108</v>
      </c>
      <c r="C20" s="12" t="str">
        <f>HYPERLINK("http://portal.genego.com/cgi/entity_page.cgi?term=20&amp;id=250255486","AGR2")</f>
        <v>AGR2</v>
      </c>
      <c r="D20" s="14" t="s">
        <v>21</v>
      </c>
      <c r="E20" s="12" t="str">
        <f>HYPERLINK("http://portal.genego.com/cgi/entity_page.cgi?term=100&amp;id=-1298268468","Anterior gradient protein 2 homolog")</f>
        <v>Anterior gradient protein 2 homolog</v>
      </c>
      <c r="F20" s="4">
        <v>4.5594503576347396</v>
      </c>
      <c r="G20" s="11">
        <v>2.3932419999999999E-2</v>
      </c>
    </row>
    <row r="21" spans="1:7" ht="60" customHeight="1">
      <c r="A21" s="14">
        <v>20</v>
      </c>
      <c r="B21" s="15" t="s">
        <v>159</v>
      </c>
      <c r="C21" s="12" t="str">
        <f>HYPERLINK("http://portal.genego.com/cgi/entity_page.cgi?term=20&amp;id=2072674788","PLA2G4C")</f>
        <v>PLA2G4C</v>
      </c>
      <c r="D21" s="14" t="s">
        <v>158</v>
      </c>
      <c r="E21" s="12"/>
      <c r="F21" s="4">
        <v>4.5347509213471699</v>
      </c>
      <c r="G21" s="11">
        <v>6.0711990000000002E-6</v>
      </c>
    </row>
    <row r="22" spans="1:7" ht="60" customHeight="1">
      <c r="A22" s="14">
        <v>21</v>
      </c>
      <c r="B22" s="15" t="s">
        <v>111</v>
      </c>
      <c r="C22" s="12" t="str">
        <f>HYPERLINK("http://portal.genego.com/cgi/entity_page.cgi?term=20&amp;id=-1863445573","HOXC6")</f>
        <v>HOXC6</v>
      </c>
      <c r="D22" s="14" t="s">
        <v>66</v>
      </c>
      <c r="E22" s="12" t="str">
        <f>HYPERLINK("http://portal.genego.com/cgi/entity_page.cgi?term=100&amp;id=6397","Homeobox protein Hox-C6")</f>
        <v>Homeobox protein Hox-C6</v>
      </c>
      <c r="F22" s="4">
        <v>4.39649543102413</v>
      </c>
      <c r="G22" s="11">
        <v>3.1688599999999999E-3</v>
      </c>
    </row>
    <row r="23" spans="1:7" ht="60" customHeight="1">
      <c r="A23" s="14">
        <v>22</v>
      </c>
      <c r="B23" s="15" t="s">
        <v>80</v>
      </c>
      <c r="C23" s="12" t="str">
        <f>HYPERLINK("http://portal.genego.com/cgi/entity_page.cgi?term=20&amp;id=2086598019","EPCAM")</f>
        <v>EPCAM</v>
      </c>
      <c r="D23" s="14" t="s">
        <v>21</v>
      </c>
      <c r="E23" s="12" t="str">
        <f>HYPERLINK("http://portal.genego.com/cgi/entity_page.cgi?term=100&amp;id=-1076809575","Epithelial cell adhesion molecule")</f>
        <v>Epithelial cell adhesion molecule</v>
      </c>
      <c r="F23" s="4">
        <v>4.3820487726297603</v>
      </c>
      <c r="G23" s="11">
        <v>1.280531E-2</v>
      </c>
    </row>
    <row r="24" spans="1:7" ht="60" customHeight="1">
      <c r="A24" s="14">
        <v>23</v>
      </c>
      <c r="B24" s="15" t="s">
        <v>88</v>
      </c>
      <c r="C24" s="12" t="str">
        <f>HYPERLINK("http://portal.genego.com/cgi/entity_page.cgi?term=20&amp;id=57600","FNIP2")</f>
        <v>FNIP2</v>
      </c>
      <c r="D24" s="14" t="s">
        <v>8</v>
      </c>
      <c r="E24" s="12" t="str">
        <f>HYPERLINK("http://portal.genego.com/cgi/entity_page.cgi?term=100&amp;id=-1986649536","Folliculin-interacting protein 2")</f>
        <v>Folliculin-interacting protein 2</v>
      </c>
      <c r="F24" s="4">
        <v>4.3718871574084401</v>
      </c>
      <c r="G24" s="11">
        <v>2.057451E-4</v>
      </c>
    </row>
    <row r="25" spans="1:7" ht="60" customHeight="1">
      <c r="A25" s="14">
        <v>24</v>
      </c>
      <c r="B25" s="15" t="s">
        <v>90</v>
      </c>
      <c r="C25" s="12" t="str">
        <f>HYPERLINK("http://portal.genego.com/cgi/entity_page.cgi?term=20&amp;id=-675076073","FMOD")</f>
        <v>FMOD</v>
      </c>
      <c r="D25" s="14" t="s">
        <v>8</v>
      </c>
      <c r="E25" s="12" t="str">
        <f>HYPERLINK("http://portal.genego.com/cgi/entity_page.cgi?term=100&amp;id=-2135383908","Fibromodulin")</f>
        <v>Fibromodulin</v>
      </c>
      <c r="F25" s="4">
        <v>4.2298760326094298</v>
      </c>
      <c r="G25" s="11">
        <v>4.8357149999999998E-4</v>
      </c>
    </row>
    <row r="26" spans="1:7" ht="60" customHeight="1">
      <c r="A26" s="14">
        <v>25</v>
      </c>
      <c r="B26" s="15" t="s">
        <v>137</v>
      </c>
      <c r="C26" s="12" t="str">
        <f>HYPERLINK("http://portal.genego.com/cgi/entity_page.cgi?term=20&amp;id=-524679889","MYRIP")</f>
        <v>MYRIP</v>
      </c>
      <c r="D26" s="14" t="s">
        <v>138</v>
      </c>
      <c r="E26" s="12" t="str">
        <f>HYPERLINK("http://portal.genego.com/cgi/entity_page.cgi?term=100&amp;id=-407950409","Rab effector MyRIP")</f>
        <v>Rab effector MyRIP</v>
      </c>
      <c r="F26" s="4">
        <v>4.2031189576210402</v>
      </c>
      <c r="G26" s="11">
        <v>5.8056260000000004E-3</v>
      </c>
    </row>
    <row r="27" spans="1:7" ht="60" customHeight="1">
      <c r="A27" s="14">
        <v>26</v>
      </c>
      <c r="B27" s="15" t="s">
        <v>121</v>
      </c>
      <c r="C27" s="12" t="str">
        <f>HYPERLINK("http://portal.genego.com/cgi/entity_page.cgi?term=20&amp;id=145837","LOC145837")</f>
        <v>LOC145837</v>
      </c>
      <c r="D27" s="14" t="s">
        <v>122</v>
      </c>
      <c r="E27" s="12" t="str">
        <f>HYPERLINK("http://portal.genego.com/cgi/entity_page.cgi?term=100&amp;id=-1961364296","hypothetical LOC145837")</f>
        <v>hypothetical LOC145837</v>
      </c>
      <c r="F27" s="5">
        <v>4.0852794260389604</v>
      </c>
      <c r="G27" s="11">
        <v>8.3613070000000005E-5</v>
      </c>
    </row>
    <row r="28" spans="1:7" ht="60" customHeight="1">
      <c r="A28" s="14">
        <v>27</v>
      </c>
      <c r="B28" s="15" t="s">
        <v>226</v>
      </c>
      <c r="C28" s="12" t="str">
        <f>HYPERLINK("http://portal.genego.com/cgi/entity_page.cgi?term=20&amp;id=-128577563","LOC100505989")</f>
        <v>LOC100505989</v>
      </c>
      <c r="D28" s="14"/>
      <c r="E28" s="12"/>
      <c r="F28" s="5">
        <v>3.8949541485337198</v>
      </c>
      <c r="G28" s="11">
        <v>1.116079E-2</v>
      </c>
    </row>
    <row r="29" spans="1:7" ht="60" customHeight="1">
      <c r="A29" s="14">
        <v>28</v>
      </c>
      <c r="B29" s="15" t="s">
        <v>113</v>
      </c>
      <c r="C29" s="12" t="str">
        <f>HYPERLINK("http://portal.genego.com/cgi/entity_page.cgi?term=20&amp;id=-158467248","INSM1")</f>
        <v>INSM1</v>
      </c>
      <c r="D29" s="14" t="s">
        <v>8</v>
      </c>
      <c r="E29" s="12" t="str">
        <f>HYPERLINK("http://portal.genego.com/cgi/entity_page.cgi?term=100&amp;id=6114","Insulinoma-associated protein 1")</f>
        <v>Insulinoma-associated protein 1</v>
      </c>
      <c r="F29" s="5">
        <v>3.88106272293183</v>
      </c>
      <c r="G29" s="11">
        <v>7.3849299999999998E-6</v>
      </c>
    </row>
    <row r="30" spans="1:7" ht="60" customHeight="1">
      <c r="A30" s="14">
        <v>29</v>
      </c>
      <c r="B30" s="15" t="s">
        <v>40</v>
      </c>
      <c r="C30" s="12" t="str">
        <f>HYPERLINK("http://portal.genego.com/cgi/entity_page.cgi?term=20&amp;id=-193977467","BEND4")</f>
        <v>BEND4</v>
      </c>
      <c r="D30" s="14" t="s">
        <v>21</v>
      </c>
      <c r="E30" s="12" t="str">
        <f>HYPERLINK("http://portal.genego.com/cgi/entity_page.cgi?term=100&amp;id=-1928656800","BEN domain-containing protein 4")</f>
        <v>BEN domain-containing protein 4</v>
      </c>
      <c r="F30" s="5">
        <v>3.84268811589051</v>
      </c>
      <c r="G30" s="11">
        <v>1.2414559999999999E-3</v>
      </c>
    </row>
    <row r="31" spans="1:7" ht="60" customHeight="1">
      <c r="A31" s="14">
        <v>30</v>
      </c>
      <c r="B31" s="15" t="s">
        <v>151</v>
      </c>
      <c r="C31" s="12" t="str">
        <f>HYPERLINK("http://portal.genego.com/cgi/entity_page.cgi?term=20&amp;id=1330346520","PCDHB10")</f>
        <v>PCDHB10</v>
      </c>
      <c r="D31" s="14" t="s">
        <v>8</v>
      </c>
      <c r="E31" s="12" t="str">
        <f>HYPERLINK("http://portal.genego.com/cgi/entity_page.cgi?term=100&amp;id=-50102128","Protocadherin beta-10")</f>
        <v>Protocadherin beta-10</v>
      </c>
      <c r="F31" s="5">
        <v>3.7673626123985899</v>
      </c>
      <c r="G31" s="11">
        <v>1.3074529999999999E-2</v>
      </c>
    </row>
    <row r="32" spans="1:7" ht="60" customHeight="1">
      <c r="A32" s="14">
        <v>31</v>
      </c>
      <c r="B32" s="15" t="s">
        <v>94</v>
      </c>
      <c r="C32" s="12" t="str">
        <f>HYPERLINK("http://portal.genego.com/cgi/entity_page.cgi?term=20&amp;id=1036374810","GALNT7")</f>
        <v>GALNT7</v>
      </c>
      <c r="D32" s="14" t="s">
        <v>13</v>
      </c>
      <c r="E32" s="12" t="str">
        <f>HYPERLINK("http://portal.genego.com/cgi/entity_page.cgi?term=100&amp;id=-750875123","N-acetylgalactosaminyltransferase 7")</f>
        <v>N-acetylgalactosaminyltransferase 7</v>
      </c>
      <c r="F32" s="5">
        <v>3.7441883537184499</v>
      </c>
      <c r="G32" s="11">
        <v>1.5436729999999999E-2</v>
      </c>
    </row>
    <row r="33" spans="1:7" ht="60" customHeight="1">
      <c r="A33" s="14">
        <v>32</v>
      </c>
      <c r="B33" s="15" t="s">
        <v>76</v>
      </c>
      <c r="C33" s="12" t="str">
        <f>HYPERLINK("http://portal.genego.com/cgi/entity_page.cgi?term=20&amp;id=-1789241433","MAPK6")</f>
        <v>MAPK6</v>
      </c>
      <c r="D33" s="14" t="s">
        <v>26</v>
      </c>
      <c r="E33" s="12" t="str">
        <f>HYPERLINK("http://portal.genego.com/cgi/entity_page.cgi?term=100&amp;id=-654954766","Mitogen-activated protein kinase 6")</f>
        <v>Mitogen-activated protein kinase 6</v>
      </c>
      <c r="F33" s="5">
        <v>3.6405734171722002</v>
      </c>
      <c r="G33" s="11">
        <v>1.0390399999999999E-2</v>
      </c>
    </row>
    <row r="34" spans="1:7" ht="60" customHeight="1">
      <c r="A34" s="14">
        <v>33</v>
      </c>
      <c r="B34" s="15" t="s">
        <v>190</v>
      </c>
      <c r="C34" s="12" t="str">
        <f>HYPERLINK("http://portal.genego.com/cgi/entity_page.cgi?term=20&amp;id=1905311031","SPOCK1")</f>
        <v>SPOCK1</v>
      </c>
      <c r="D34" s="14" t="s">
        <v>8</v>
      </c>
      <c r="E34" s="12" t="str">
        <f>HYPERLINK("http://portal.genego.com/cgi/entity_page.cgi?term=100&amp;id=-1393430088","Testican-1")</f>
        <v>Testican-1</v>
      </c>
      <c r="F34" s="5">
        <v>3.5600555173934101</v>
      </c>
      <c r="G34" s="11">
        <v>3.034245E-2</v>
      </c>
    </row>
    <row r="35" spans="1:7" ht="60" customHeight="1">
      <c r="A35" s="14">
        <v>34</v>
      </c>
      <c r="B35" s="15" t="s">
        <v>67</v>
      </c>
      <c r="C35" s="12" t="str">
        <f>HYPERLINK("http://portal.genego.com/cgi/entity_page.cgi?term=20&amp;id=-498576690","DNAH5")</f>
        <v>DNAH5</v>
      </c>
      <c r="D35" s="14" t="s">
        <v>13</v>
      </c>
      <c r="E35" s="12" t="str">
        <f>HYPERLINK("http://portal.genego.com/cgi/entity_page.cgi?term=100&amp;id=-725258044","Dynein heavy chain 5, axonemal")</f>
        <v>Dynein heavy chain 5, axonemal</v>
      </c>
      <c r="F35" s="5">
        <v>3.4151582163244298</v>
      </c>
      <c r="G35" s="11">
        <v>9.4755480000000003E-4</v>
      </c>
    </row>
    <row r="36" spans="1:7" ht="60" customHeight="1">
      <c r="A36" s="14">
        <v>35</v>
      </c>
      <c r="B36" s="15" t="s">
        <v>212</v>
      </c>
      <c r="C36" s="12" t="str">
        <f>HYPERLINK("http://portal.genego.com/cgi/entity_page.cgi?term=20&amp;id=-220117715","WASF3")</f>
        <v>WASF3</v>
      </c>
      <c r="D36" s="14" t="s">
        <v>8</v>
      </c>
      <c r="E36" s="12" t="str">
        <f>HYPERLINK("http://portal.genego.com/cgi/entity_page.cgi?term=100&amp;id=2584","Wiskott-Aldrich syndrome protein family member 3")</f>
        <v>Wiskott-Aldrich syndrome protein family member 3</v>
      </c>
      <c r="F36" s="5">
        <v>3.29240613024121</v>
      </c>
      <c r="G36" s="11">
        <v>2.057451E-4</v>
      </c>
    </row>
    <row r="37" spans="1:7" ht="60" customHeight="1">
      <c r="A37" s="14">
        <v>36</v>
      </c>
      <c r="B37" s="15" t="s">
        <v>207</v>
      </c>
      <c r="C37" s="12" t="str">
        <f>HYPERLINK("http://portal.genego.com/cgi/entity_page.cgi?term=20&amp;id=243759719","UAP1")</f>
        <v>UAP1</v>
      </c>
      <c r="D37" s="14" t="s">
        <v>13</v>
      </c>
      <c r="E37" s="12" t="str">
        <f>HYPERLINK("http://portal.genego.com/cgi/entity_page.cgi?term=100&amp;id=-436238573","UDP-N-acetylhexosamine pyrophosphorylase")</f>
        <v>UDP-N-acetylhexosamine pyrophosphorylase</v>
      </c>
      <c r="F37" s="5">
        <v>3.24549173570903</v>
      </c>
      <c r="G37" s="11">
        <v>1.9215719999999999E-2</v>
      </c>
    </row>
    <row r="38" spans="1:7" ht="60" customHeight="1">
      <c r="A38" s="14">
        <v>37</v>
      </c>
      <c r="B38" s="15" t="s">
        <v>144</v>
      </c>
      <c r="C38" s="12" t="str">
        <f>HYPERLINK("http://portal.genego.com/cgi/entity_page.cgi?term=20&amp;id=881061766","NPM1")</f>
        <v>NPM1</v>
      </c>
      <c r="D38" s="14" t="s">
        <v>26</v>
      </c>
      <c r="E38" s="12"/>
      <c r="F38" s="5">
        <v>3.2144800303775098</v>
      </c>
      <c r="G38" s="11">
        <v>6.1767690000000004E-3</v>
      </c>
    </row>
    <row r="39" spans="1:7" ht="60" customHeight="1">
      <c r="A39" s="14">
        <v>38</v>
      </c>
      <c r="B39" s="15" t="s">
        <v>220</v>
      </c>
      <c r="C39" s="12" t="str">
        <f>HYPERLINK("http://portal.genego.com/cgi/entity_page.cgi?term=20&amp;id=-25006305","ZNF615")</f>
        <v>ZNF615</v>
      </c>
      <c r="D39" s="14" t="s">
        <v>8</v>
      </c>
      <c r="E39" s="12" t="str">
        <f>HYPERLINK("http://portal.genego.com/cgi/entity_page.cgi?term=100&amp;id=-1216547702","Zinc finger protein 615")</f>
        <v>Zinc finger protein 615</v>
      </c>
      <c r="F39" s="5">
        <v>3.1770999199553902</v>
      </c>
      <c r="G39" s="11">
        <v>3.9248350000000001E-2</v>
      </c>
    </row>
    <row r="40" spans="1:7" ht="60" customHeight="1">
      <c r="A40" s="14">
        <v>39</v>
      </c>
      <c r="B40" s="15" t="s">
        <v>230</v>
      </c>
      <c r="C40" s="12" t="str">
        <f>HYPERLINK("http://portal.genego.com/cgi/entity_page.cgi?term=20&amp;id=-1021184429","LOC100507303")</f>
        <v>LOC100507303</v>
      </c>
      <c r="D40" s="14"/>
      <c r="E40" s="12"/>
      <c r="F40" s="5">
        <v>3.1550102268722302</v>
      </c>
      <c r="G40" s="11">
        <v>2.0875590000000001E-3</v>
      </c>
    </row>
    <row r="41" spans="1:7" ht="60" customHeight="1">
      <c r="A41" s="14">
        <v>40</v>
      </c>
      <c r="B41" s="15" t="s">
        <v>168</v>
      </c>
      <c r="C41" s="12" t="str">
        <f>HYPERLINK("http://portal.genego.com/cgi/entity_page.cgi?term=20&amp;id=-1993748153","RGS10")</f>
        <v>RGS10</v>
      </c>
      <c r="D41" s="14" t="s">
        <v>138</v>
      </c>
      <c r="E41" s="12" t="str">
        <f>HYPERLINK("http://portal.genego.com/cgi/entity_page.cgi?term=100&amp;id=651","Regulator of G-protein signaling 10")</f>
        <v>Regulator of G-protein signaling 10</v>
      </c>
      <c r="F41" s="5">
        <v>3.1463433995565402</v>
      </c>
      <c r="G41" s="11">
        <v>1.259121E-3</v>
      </c>
    </row>
    <row r="42" spans="1:7" ht="60" customHeight="1">
      <c r="A42" s="14">
        <v>41</v>
      </c>
      <c r="B42" s="15" t="s">
        <v>152</v>
      </c>
      <c r="C42" s="12" t="str">
        <f>HYPERLINK("http://portal.genego.com/cgi/entity_page.cgi?term=20&amp;id=1713805938","PCDHB16")</f>
        <v>PCDHB16</v>
      </c>
      <c r="D42" s="14" t="s">
        <v>8</v>
      </c>
      <c r="E42" s="12" t="str">
        <f>HYPERLINK("http://portal.genego.com/cgi/entity_page.cgi?term=100&amp;id=-1699371814","Protocadherin beta-16")</f>
        <v>Protocadherin beta-16</v>
      </c>
      <c r="F42" s="5">
        <v>3.1378916892955901</v>
      </c>
      <c r="G42" s="11">
        <v>4.0354509999999998E-3</v>
      </c>
    </row>
    <row r="43" spans="1:7" ht="60" customHeight="1">
      <c r="A43" s="14">
        <v>42</v>
      </c>
      <c r="B43" s="15" t="s">
        <v>166</v>
      </c>
      <c r="C43" s="12" t="str">
        <f>HYPERLINK("http://portal.genego.com/cgi/entity_page.cgi?term=20&amp;id=-2122639737","REPS2")</f>
        <v>REPS2</v>
      </c>
      <c r="D43" s="14" t="s">
        <v>8</v>
      </c>
      <c r="E43" s="12" t="str">
        <f>HYPERLINK("http://portal.genego.com/cgi/entity_page.cgi?term=100&amp;id=-474197448","RalBP1-associated Eps domain-containing protein 2")</f>
        <v>RalBP1-associated Eps domain-containing protein 2</v>
      </c>
      <c r="F43" s="5">
        <v>3.0484441116220302</v>
      </c>
      <c r="G43" s="11">
        <v>4.6609720000000002E-3</v>
      </c>
    </row>
    <row r="44" spans="1:7" ht="60" customHeight="1">
      <c r="A44" s="14">
        <v>43</v>
      </c>
      <c r="B44" s="15" t="s">
        <v>38</v>
      </c>
      <c r="C44" s="12" t="str">
        <f>HYPERLINK("http://portal.genego.com/cgi/entity_page.cgi?term=20&amp;id=644531148","CACNA1D")</f>
        <v>CACNA1D</v>
      </c>
      <c r="D44" s="14" t="s">
        <v>39</v>
      </c>
      <c r="E44" s="12"/>
      <c r="F44" s="5">
        <v>3.0032399931985601</v>
      </c>
      <c r="G44" s="11">
        <v>1.145031E-4</v>
      </c>
    </row>
    <row r="45" spans="1:7" ht="60" customHeight="1">
      <c r="A45" s="14">
        <v>44</v>
      </c>
      <c r="B45" s="15" t="s">
        <v>197</v>
      </c>
      <c r="C45" s="12" t="str">
        <f>HYPERLINK("http://portal.genego.com/cgi/entity_page.cgi?term=20&amp;id=-1587422269","TDRD1")</f>
        <v>TDRD1</v>
      </c>
      <c r="D45" s="14" t="s">
        <v>8</v>
      </c>
      <c r="E45" s="12" t="str">
        <f>HYPERLINK("http://portal.genego.com/cgi/entity_page.cgi?term=100&amp;id=-1001353855","Tudor domain-containing protein 1")</f>
        <v>Tudor domain-containing protein 1</v>
      </c>
      <c r="F45" s="5">
        <v>2.9117340609711202</v>
      </c>
      <c r="G45" s="11">
        <v>2.4261909999999999E-3</v>
      </c>
    </row>
    <row r="46" spans="1:7" ht="60" customHeight="1">
      <c r="A46" s="14">
        <v>45</v>
      </c>
      <c r="B46" s="15" t="s">
        <v>164</v>
      </c>
      <c r="C46" s="12" t="str">
        <f>HYPERLINK("http://portal.genego.com/cgi/entity_page.cgi?term=20&amp;id=84366","PRAC")</f>
        <v>PRAC</v>
      </c>
      <c r="D46" s="14" t="s">
        <v>21</v>
      </c>
      <c r="E46" s="12" t="str">
        <f>HYPERLINK("http://portal.genego.com/cgi/entity_page.cgi?term=100&amp;id=-8339924","Small nuclear protein PRAC")</f>
        <v>Small nuclear protein PRAC</v>
      </c>
      <c r="F46" s="5">
        <v>2.88397872525614</v>
      </c>
      <c r="G46" s="11">
        <v>4.6609720000000002E-3</v>
      </c>
    </row>
    <row r="47" spans="1:7" ht="60" customHeight="1">
      <c r="A47" s="14">
        <v>46</v>
      </c>
      <c r="B47" s="15" t="s">
        <v>218</v>
      </c>
      <c r="C47" s="12" t="str">
        <f>HYPERLINK("http://portal.genego.com/cgi/entity_page.cgi?term=20&amp;id=118472","ZNF511")</f>
        <v>ZNF511</v>
      </c>
      <c r="D47" s="14" t="s">
        <v>8</v>
      </c>
      <c r="E47" s="12" t="str">
        <f>HYPERLINK("http://portal.genego.com/cgi/entity_page.cgi?term=100&amp;id=-1021506542","Zinc finger protein 511")</f>
        <v>Zinc finger protein 511</v>
      </c>
      <c r="F47" s="5">
        <v>2.8618999253369601</v>
      </c>
      <c r="G47" s="11">
        <v>6.1501489999999997E-6</v>
      </c>
    </row>
    <row r="48" spans="1:7" ht="60" customHeight="1">
      <c r="A48" s="14">
        <v>47</v>
      </c>
      <c r="B48" s="15" t="s">
        <v>191</v>
      </c>
      <c r="C48" s="12" t="str">
        <f>HYPERLINK("http://portal.genego.com/cgi/entity_page.cgi?term=20&amp;id=79689","STEAP4")</f>
        <v>STEAP4</v>
      </c>
      <c r="D48" s="14" t="s">
        <v>13</v>
      </c>
      <c r="E48" s="12" t="str">
        <f>HYPERLINK("http://portal.genego.com/cgi/entity_page.cgi?term=100&amp;id=6357","Metalloreductase STEAP4")</f>
        <v>Metalloreductase STEAP4</v>
      </c>
      <c r="F48" s="5">
        <v>2.8407690450063301</v>
      </c>
      <c r="G48" s="11">
        <v>4.9753809999999999E-4</v>
      </c>
    </row>
    <row r="49" spans="1:7" ht="60" customHeight="1">
      <c r="A49" s="14">
        <v>48</v>
      </c>
      <c r="B49" s="15" t="s">
        <v>63</v>
      </c>
      <c r="C49" s="12" t="str">
        <f>HYPERLINK("http://portal.genego.com/cgi/entity_page.cgi?term=20&amp;id=-1335821160","ODC1")</f>
        <v>ODC1</v>
      </c>
      <c r="D49" s="14" t="s">
        <v>13</v>
      </c>
      <c r="E49" s="12" t="str">
        <f>HYPERLINK("http://portal.genego.com/cgi/entity_page.cgi?term=100&amp;id=2259","Ornithine decarboxylase")</f>
        <v>Ornithine decarboxylase</v>
      </c>
      <c r="F49" s="5">
        <v>2.8109105053254901</v>
      </c>
      <c r="G49" s="11">
        <v>3.594373E-2</v>
      </c>
    </row>
    <row r="50" spans="1:7" ht="60" customHeight="1">
      <c r="A50" s="14">
        <v>49</v>
      </c>
      <c r="B50" s="15" t="s">
        <v>83</v>
      </c>
      <c r="C50" s="12" t="str">
        <f>HYPERLINK("http://portal.genego.com/cgi/entity_page.cgi?term=20&amp;id=-1289357172","FGF13")</f>
        <v>FGF13</v>
      </c>
      <c r="D50" s="14" t="s">
        <v>42</v>
      </c>
      <c r="E50" s="12" t="str">
        <f>HYPERLINK("http://portal.genego.com/cgi/entity_page.cgi?term=100&amp;id=9302","Fibroblast growth factor 13")</f>
        <v>Fibroblast growth factor 13</v>
      </c>
      <c r="F50" s="5">
        <v>2.7956023764696099</v>
      </c>
      <c r="G50" s="11">
        <v>1.851214E-2</v>
      </c>
    </row>
    <row r="51" spans="1:7" ht="60" customHeight="1">
      <c r="A51" s="14">
        <v>50</v>
      </c>
      <c r="B51" s="15" t="s">
        <v>165</v>
      </c>
      <c r="C51" s="12" t="str">
        <f>HYPERLINK("http://portal.genego.com/cgi/entity_page.cgi?term=20&amp;id=-447320972","PXDN")</f>
        <v>PXDN</v>
      </c>
      <c r="D51" s="14" t="s">
        <v>13</v>
      </c>
      <c r="E51" s="12" t="str">
        <f>HYPERLINK("http://portal.genego.com/cgi/entity_page.cgi?term=100&amp;id=-608607512","Peroxidasin homolog")</f>
        <v>Peroxidasin homolog</v>
      </c>
      <c r="F51" s="5">
        <v>2.7399985209464899</v>
      </c>
      <c r="G51" s="11">
        <v>8.9654459999999997E-4</v>
      </c>
    </row>
    <row r="52" spans="1:7" ht="60" customHeight="1">
      <c r="A52" s="14">
        <v>51</v>
      </c>
      <c r="B52" s="15" t="s">
        <v>131</v>
      </c>
      <c r="C52" s="12" t="str">
        <f>HYPERLINK("http://portal.genego.com/cgi/entity_page.cgi?term=20&amp;id=1985070738","MARCKSL1")</f>
        <v>MARCKSL1</v>
      </c>
      <c r="D52" s="14" t="s">
        <v>8</v>
      </c>
      <c r="E52" s="12" t="str">
        <f>HYPERLINK("http://portal.genego.com/cgi/entity_page.cgi?term=100&amp;id=-1142509843","MARCKS-related protein")</f>
        <v>MARCKS-related protein</v>
      </c>
      <c r="F52" s="5">
        <v>2.6912462190573301</v>
      </c>
      <c r="G52" s="11">
        <v>3.9970480000000002E-4</v>
      </c>
    </row>
    <row r="53" spans="1:7" ht="60" customHeight="1">
      <c r="A53" s="14">
        <v>52</v>
      </c>
      <c r="B53" s="15" t="s">
        <v>29</v>
      </c>
      <c r="C53" s="12" t="str">
        <f>HYPERLINK("http://portal.genego.com/cgi/entity_page.cgi?term=20&amp;id=-1900309776","B3GAT1")</f>
        <v>B3GAT1</v>
      </c>
      <c r="D53" s="14" t="s">
        <v>13</v>
      </c>
      <c r="E53" s="12" t="str">
        <f>HYPERLINK("http://portal.genego.com/cgi/entity_page.cgi?term=100&amp;id=-521408412","Galactosylgalactosylxylosylprotein 3-beta-glucuronosyltransferase 1")</f>
        <v>Galactosylgalactosylxylosylprotein 3-beta-glucuronosyltransferase 1</v>
      </c>
      <c r="F53" s="5">
        <v>2.61804441560834</v>
      </c>
      <c r="G53" s="11">
        <v>8.6231169999999996E-3</v>
      </c>
    </row>
    <row r="54" spans="1:7" ht="60" customHeight="1">
      <c r="A54" s="14">
        <v>53</v>
      </c>
      <c r="B54" s="15" t="s">
        <v>157</v>
      </c>
      <c r="C54" s="12" t="str">
        <f>HYPERLINK("http://portal.genego.com/cgi/entity_page.cgi?term=20&amp;id=1276481686","PLA1A")</f>
        <v>PLA1A</v>
      </c>
      <c r="D54" s="14" t="s">
        <v>158</v>
      </c>
      <c r="E54" s="12" t="str">
        <f>HYPERLINK("http://portal.genego.com/cgi/entity_page.cgi?term=100&amp;id=-331715963","Phospholipase A1 member A")</f>
        <v>Phospholipase A1 member A</v>
      </c>
      <c r="F54" s="5">
        <v>2.6009363193882602</v>
      </c>
      <c r="G54" s="11">
        <v>1.6749390000000001E-4</v>
      </c>
    </row>
    <row r="55" spans="1:7" ht="60" customHeight="1">
      <c r="A55" s="14">
        <v>54</v>
      </c>
      <c r="B55" s="15" t="s">
        <v>127</v>
      </c>
      <c r="C55" s="12" t="str">
        <f>HYPERLINK("http://portal.genego.com/cgi/entity_page.cgi?term=20&amp;id=-1807267110","MCCC2")</f>
        <v>MCCC2</v>
      </c>
      <c r="D55" s="14" t="s">
        <v>13</v>
      </c>
      <c r="E55" s="12"/>
      <c r="F55" s="5">
        <v>2.5461850770597101</v>
      </c>
      <c r="G55" s="11">
        <v>1.5275479999999999E-2</v>
      </c>
    </row>
    <row r="56" spans="1:7" ht="60" customHeight="1">
      <c r="A56" s="14">
        <v>55</v>
      </c>
      <c r="B56" s="15" t="s">
        <v>116</v>
      </c>
      <c r="C56" s="12" t="str">
        <f>HYPERLINK("http://portal.genego.com/cgi/entity_page.cgi?term=20&amp;id=-1664795394","KCNH8")</f>
        <v>KCNH8</v>
      </c>
      <c r="D56" s="14" t="s">
        <v>39</v>
      </c>
      <c r="E56" s="12" t="str">
        <f>HYPERLINK("http://portal.genego.com/cgi/entity_page.cgi?term=100&amp;id=-1834061893","Potassium voltage-gated channel subfamily H member 8")</f>
        <v>Potassium voltage-gated channel subfamily H member 8</v>
      </c>
      <c r="F56" s="5">
        <v>2.53426779874993</v>
      </c>
      <c r="G56" s="11">
        <v>1.1889909999999999E-4</v>
      </c>
    </row>
    <row r="57" spans="1:7" ht="60" customHeight="1">
      <c r="A57" s="14">
        <v>56</v>
      </c>
      <c r="B57" s="15" t="s">
        <v>46</v>
      </c>
      <c r="C57" s="12" t="str">
        <f>HYPERLINK("http://portal.genego.com/cgi/entity_page.cgi?term=20&amp;id=2077715407","CKS2")</f>
        <v>CKS2</v>
      </c>
      <c r="D57" s="14" t="s">
        <v>8</v>
      </c>
      <c r="E57" s="12" t="str">
        <f>HYPERLINK("http://portal.genego.com/cgi/entity_page.cgi?term=100&amp;id=-2136656026","Cyclin-dependent kinases regulatory subunit 2")</f>
        <v>Cyclin-dependent kinases regulatory subunit 2</v>
      </c>
      <c r="F57" s="5">
        <v>2.4575350033909</v>
      </c>
      <c r="G57" s="11">
        <v>3.6695430000000001E-2</v>
      </c>
    </row>
    <row r="58" spans="1:7" ht="60" customHeight="1">
      <c r="A58" s="14">
        <v>57</v>
      </c>
      <c r="B58" s="15" t="s">
        <v>149</v>
      </c>
      <c r="C58" s="12" t="str">
        <f>HYPERLINK("http://portal.genego.com/cgi/entity_page.cgi?term=20&amp;id=-1627443087","PABPC1L2B")</f>
        <v>PABPC1L2B</v>
      </c>
      <c r="D58" s="14" t="s">
        <v>8</v>
      </c>
      <c r="E58" s="12" t="str">
        <f>HYPERLINK("http://portal.genego.com/cgi/entity_page.cgi?term=100&amp;id=-287996588","Polyadenylate-binding protein 1-like 2")</f>
        <v>Polyadenylate-binding protein 1-like 2</v>
      </c>
      <c r="F58" s="5">
        <v>2.4415345778129498</v>
      </c>
      <c r="G58" s="11">
        <v>2.155996E-2</v>
      </c>
    </row>
    <row r="59" spans="1:7" ht="60" customHeight="1">
      <c r="A59" s="14">
        <v>58</v>
      </c>
      <c r="B59" s="15" t="s">
        <v>70</v>
      </c>
      <c r="C59" s="12" t="str">
        <f>HYPERLINK("http://portal.genego.com/cgi/entity_page.cgi?term=20&amp;id=80237","ELL3")</f>
        <v>ELL3</v>
      </c>
      <c r="D59" s="14" t="s">
        <v>8</v>
      </c>
      <c r="E59" s="12" t="str">
        <f>HYPERLINK("http://portal.genego.com/cgi/entity_page.cgi?term=100&amp;id=-1025097706","RNA polymerase II elongation factor ELL3")</f>
        <v>RNA polymerase II elongation factor ELL3</v>
      </c>
      <c r="F59" s="5">
        <v>2.4178550294334298</v>
      </c>
      <c r="G59" s="11">
        <v>3.3355619999999998E-3</v>
      </c>
    </row>
    <row r="60" spans="1:7" ht="60" customHeight="1">
      <c r="A60" s="14">
        <v>59</v>
      </c>
      <c r="B60" s="15" t="s">
        <v>228</v>
      </c>
      <c r="C60" s="12" t="str">
        <f>HYPERLINK("http://portal.genego.com/cgi/entity_page.cgi?term=20&amp;id=-1426741522","LOC100506380")</f>
        <v>LOC100506380</v>
      </c>
      <c r="D60" s="14"/>
      <c r="E60" s="12"/>
      <c r="F60" s="5">
        <v>2.3906344477126402</v>
      </c>
      <c r="G60" s="11">
        <v>3.9542639999999997E-2</v>
      </c>
    </row>
    <row r="61" spans="1:7" ht="60" customHeight="1">
      <c r="A61" s="14">
        <v>60</v>
      </c>
      <c r="B61" s="15" t="s">
        <v>223</v>
      </c>
      <c r="C61" s="12" t="str">
        <f>HYPERLINK("http://portal.genego.com/cgi/entity_page.cgi?term=20&amp;id=-1413709642","MYC")</f>
        <v>MYC</v>
      </c>
      <c r="D61" s="14" t="s">
        <v>66</v>
      </c>
      <c r="E61" s="12" t="str">
        <f>HYPERLINK("http://portal.genego.com/cgi/entity_page.cgi?term=100&amp;id=2257","Myc proto-oncogene protein")</f>
        <v>Myc proto-oncogene protein</v>
      </c>
      <c r="F61" s="5">
        <v>2.38081114177993</v>
      </c>
      <c r="G61" s="11">
        <v>4.5748450000000003E-2</v>
      </c>
    </row>
    <row r="62" spans="1:7" ht="60" customHeight="1">
      <c r="A62" s="14">
        <v>61</v>
      </c>
      <c r="B62" s="15" t="s">
        <v>203</v>
      </c>
      <c r="C62" s="12" t="str">
        <f>HYPERLINK("http://portal.genego.com/cgi/entity_page.cgi?term=20&amp;id=1451100352","CADM1")</f>
        <v>CADM1</v>
      </c>
      <c r="D62" s="14" t="s">
        <v>8</v>
      </c>
      <c r="E62" s="12" t="str">
        <f>HYPERLINK("http://portal.genego.com/cgi/entity_page.cgi?term=100&amp;id=-1004688159","Cell adhesion molecule 1")</f>
        <v>Cell adhesion molecule 1</v>
      </c>
      <c r="F62" s="5">
        <v>2.3711497864118298</v>
      </c>
      <c r="G62" s="11">
        <v>1.145031E-4</v>
      </c>
    </row>
    <row r="63" spans="1:7" ht="60" customHeight="1">
      <c r="A63" s="14">
        <v>62</v>
      </c>
      <c r="B63" s="15" t="s">
        <v>183</v>
      </c>
      <c r="C63" s="12" t="str">
        <f>HYPERLINK("http://portal.genego.com/cgi/entity_page.cgi?term=20&amp;id=-428733003","SIM2")</f>
        <v>SIM2</v>
      </c>
      <c r="D63" s="14" t="s">
        <v>66</v>
      </c>
      <c r="E63" s="12" t="str">
        <f>HYPERLINK("http://portal.genego.com/cgi/entity_page.cgi?term=100&amp;id=-1496194647","Single-minded homolog 2")</f>
        <v>Single-minded homolog 2</v>
      </c>
      <c r="F63" s="5">
        <v>2.3649740631438498</v>
      </c>
      <c r="G63" s="11">
        <v>3.1688579999999999E-4</v>
      </c>
    </row>
    <row r="64" spans="1:7" ht="60" customHeight="1">
      <c r="A64" s="14">
        <v>63</v>
      </c>
      <c r="B64" s="15" t="s">
        <v>202</v>
      </c>
      <c r="C64" s="12" t="str">
        <f>HYPERLINK("http://portal.genego.com/cgi/entity_page.cgi?term=20&amp;id=1122855320","TRPM4")</f>
        <v>TRPM4</v>
      </c>
      <c r="D64" s="14" t="s">
        <v>11</v>
      </c>
      <c r="E64" s="12" t="str">
        <f>HYPERLINK("http://portal.genego.com/cgi/entity_page.cgi?term=100&amp;id=-801019700","Transient receptor potential cation channel subfamily M member 4")</f>
        <v>Transient receptor potential cation channel subfamily M member 4</v>
      </c>
      <c r="F64" s="5">
        <v>2.2843125687449701</v>
      </c>
      <c r="G64" s="11">
        <v>3.7002800000000002E-2</v>
      </c>
    </row>
    <row r="65" spans="1:7" ht="60" customHeight="1">
      <c r="A65" s="14">
        <v>64</v>
      </c>
      <c r="B65" s="15" t="s">
        <v>161</v>
      </c>
      <c r="C65" s="12" t="str">
        <f>HYPERLINK("http://portal.genego.com/cgi/entity_page.cgi?term=20&amp;id=-1540649081","POPDC3")</f>
        <v>POPDC3</v>
      </c>
      <c r="D65" s="14" t="s">
        <v>8</v>
      </c>
      <c r="E65" s="12" t="str">
        <f>HYPERLINK("http://portal.genego.com/cgi/entity_page.cgi?term=100&amp;id=-1550014060","Popeye domain-containing protein 3")</f>
        <v>Popeye domain-containing protein 3</v>
      </c>
      <c r="F65" s="5">
        <v>2.2814722381881798</v>
      </c>
      <c r="G65" s="11">
        <v>3.8618439999999997E-2</v>
      </c>
    </row>
    <row r="66" spans="1:7" ht="60" customHeight="1">
      <c r="A66" s="14">
        <v>65</v>
      </c>
      <c r="B66" s="15" t="s">
        <v>170</v>
      </c>
      <c r="C66" s="12" t="str">
        <f>HYPERLINK("http://portal.genego.com/cgi/entity_page.cgi?term=20&amp;id=-1596079016","RAB11A")</f>
        <v>RAB11A</v>
      </c>
      <c r="D66" s="14" t="s">
        <v>171</v>
      </c>
      <c r="E66" s="12" t="str">
        <f>HYPERLINK("http://portal.genego.com/cgi/entity_page.cgi?term=100&amp;id=-1029644818","Ras-related protein Rab-11A")</f>
        <v>Ras-related protein Rab-11A</v>
      </c>
      <c r="F66" s="5">
        <v>2.2686153660355601</v>
      </c>
      <c r="G66" s="11">
        <v>1.8439879999999999E-2</v>
      </c>
    </row>
    <row r="67" spans="1:7" ht="60" customHeight="1">
      <c r="A67" s="14">
        <v>66</v>
      </c>
      <c r="B67" s="15" t="s">
        <v>77</v>
      </c>
      <c r="C67" s="12" t="str">
        <f>HYPERLINK("http://portal.genego.com/cgi/entity_page.cgi?term=20&amp;id=54431","DNAJC10")</f>
        <v>DNAJC10</v>
      </c>
      <c r="D67" s="14" t="s">
        <v>8</v>
      </c>
      <c r="E67" s="12" t="str">
        <f>HYPERLINK("http://portal.genego.com/cgi/entity_page.cgi?term=100&amp;id=-2121347801","DnaJ homolog subfamily C member 10")</f>
        <v>DnaJ homolog subfamily C member 10</v>
      </c>
      <c r="F67" s="5">
        <v>2.2344182879888899</v>
      </c>
      <c r="G67" s="11">
        <v>1.7439509999999998E-2</v>
      </c>
    </row>
    <row r="68" spans="1:7" ht="60" customHeight="1">
      <c r="A68" s="14">
        <v>67</v>
      </c>
      <c r="B68" s="15" t="s">
        <v>49</v>
      </c>
      <c r="C68" s="12" t="str">
        <f>HYPERLINK("http://portal.genego.com/cgi/entity_page.cgi?term=20&amp;id=51241","COX16")</f>
        <v>COX16</v>
      </c>
      <c r="D68" s="14" t="s">
        <v>8</v>
      </c>
      <c r="E68" s="12" t="str">
        <f>HYPERLINK("http://portal.genego.com/cgi/entity_page.cgi?term=100&amp;id=-1944201349","Cytochrome c oxidase assembly protein COX16 homolog, mitochondrial")</f>
        <v>Cytochrome c oxidase assembly protein COX16 homolog, mitochondrial</v>
      </c>
      <c r="F68" s="5">
        <v>2.0888723514119101</v>
      </c>
      <c r="G68" s="11">
        <v>6.1767690000000004E-3</v>
      </c>
    </row>
    <row r="69" spans="1:7" ht="60" customHeight="1">
      <c r="A69" s="14">
        <v>68</v>
      </c>
      <c r="B69" s="15" t="s">
        <v>14</v>
      </c>
      <c r="C69" s="12" t="str">
        <f>HYPERLINK("http://portal.genego.com/cgi/entity_page.cgi?term=20&amp;id=-692577412","ADSL")</f>
        <v>ADSL</v>
      </c>
      <c r="D69" s="14" t="s">
        <v>13</v>
      </c>
      <c r="E69" s="12" t="str">
        <f>HYPERLINK("http://portal.genego.com/cgi/entity_page.cgi?term=100&amp;id=-184572426","Adenylosuccinate lyase")</f>
        <v>Adenylosuccinate lyase</v>
      </c>
      <c r="F69" s="5">
        <v>2.0824352200425502</v>
      </c>
      <c r="G69" s="11">
        <v>4.9753809999999999E-4</v>
      </c>
    </row>
    <row r="70" spans="1:7" ht="60" customHeight="1">
      <c r="A70" s="14">
        <v>69</v>
      </c>
      <c r="B70" s="15" t="s">
        <v>104</v>
      </c>
      <c r="C70" s="12" t="str">
        <f>HYPERLINK("http://portal.genego.com/cgi/entity_page.cgi?term=20&amp;id=798585305","GUCY1A3")</f>
        <v>GUCY1A3</v>
      </c>
      <c r="D70" s="14" t="s">
        <v>13</v>
      </c>
      <c r="E70" s="12" t="str">
        <f>HYPERLINK("http://portal.genego.com/cgi/entity_page.cgi?term=100&amp;id=-1327467899","Guanylate cyclase soluble subunit alpha-3")</f>
        <v>Guanylate cyclase soluble subunit alpha-3</v>
      </c>
      <c r="F70" s="5">
        <v>2.06677285427038</v>
      </c>
      <c r="G70" s="11">
        <v>8.1831560000000005E-3</v>
      </c>
    </row>
    <row r="71" spans="1:7" ht="60" customHeight="1">
      <c r="A71" s="14">
        <v>70</v>
      </c>
      <c r="B71" s="15" t="s">
        <v>156</v>
      </c>
      <c r="C71" s="12" t="str">
        <f>HYPERLINK("http://portal.genego.com/cgi/entity_page.cgi?term=20&amp;id=-490329413","PRKACB")</f>
        <v>PRKACB</v>
      </c>
      <c r="D71" s="14" t="s">
        <v>26</v>
      </c>
      <c r="E71" s="12"/>
      <c r="F71" s="5">
        <v>2.0274999073445801</v>
      </c>
      <c r="G71" s="11">
        <v>1.321993E-2</v>
      </c>
    </row>
    <row r="72" spans="1:7" ht="60" customHeight="1">
      <c r="A72" s="14">
        <v>71</v>
      </c>
      <c r="B72" s="15" t="s">
        <v>69</v>
      </c>
      <c r="C72" s="12" t="str">
        <f>HYPERLINK("http://portal.genego.com/cgi/entity_page.cgi?term=20&amp;id=26098","C10orf137")</f>
        <v>C10orf137</v>
      </c>
      <c r="D72" s="14" t="s">
        <v>8</v>
      </c>
      <c r="E72" s="12" t="str">
        <f>HYPERLINK("http://portal.genego.com/cgi/entity_page.cgi?term=100&amp;id=-404967842","Erythroid differentiation-related factor 1")</f>
        <v>Erythroid differentiation-related factor 1</v>
      </c>
      <c r="F72" s="5">
        <v>2.0237729841266399</v>
      </c>
      <c r="G72" s="11">
        <v>4.8121150000000001E-2</v>
      </c>
    </row>
    <row r="73" spans="1:7" ht="60" customHeight="1">
      <c r="A73" s="14">
        <v>72</v>
      </c>
      <c r="B73" s="15" t="s">
        <v>154</v>
      </c>
      <c r="C73" s="12" t="str">
        <f>HYPERLINK("http://portal.genego.com/cgi/entity_page.cgi?term=20&amp;id=410062","ECI2")</f>
        <v>ECI2</v>
      </c>
      <c r="D73" s="14" t="s">
        <v>13</v>
      </c>
      <c r="E73" s="12" t="str">
        <f>HYPERLINK("http://portal.genego.com/cgi/entity_page.cgi?term=100&amp;id=-339552541","Enoyl-CoA delta isomerase 2, mitochondrial")</f>
        <v>Enoyl-CoA delta isomerase 2, mitochondrial</v>
      </c>
      <c r="F73" s="5">
        <v>2.01841812798303</v>
      </c>
      <c r="G73" s="11">
        <v>4.7616119999999998E-2</v>
      </c>
    </row>
    <row r="74" spans="1:7" ht="60" customHeight="1">
      <c r="A74" s="14">
        <v>73</v>
      </c>
      <c r="B74" s="15" t="s">
        <v>92</v>
      </c>
      <c r="C74" s="12" t="str">
        <f>HYPERLINK("http://portal.genego.com/cgi/entity_page.cgi?term=20&amp;id=-392949754","GABRB3")</f>
        <v>GABRB3</v>
      </c>
      <c r="D74" s="14" t="s">
        <v>93</v>
      </c>
      <c r="E74" s="12"/>
      <c r="F74" s="5">
        <v>1.99297144803944</v>
      </c>
      <c r="G74" s="11">
        <v>3.9211159999999997E-3</v>
      </c>
    </row>
    <row r="75" spans="1:7" ht="60" customHeight="1">
      <c r="A75" s="14">
        <v>74</v>
      </c>
      <c r="B75" s="15" t="s">
        <v>68</v>
      </c>
      <c r="C75" s="12" t="str">
        <f>HYPERLINK("http://portal.genego.com/cgi/entity_page.cgi?term=20&amp;id=64118","DUS1L")</f>
        <v>DUS1L</v>
      </c>
      <c r="D75" s="14" t="s">
        <v>13</v>
      </c>
      <c r="E75" s="12" t="str">
        <f>HYPERLINK("http://portal.genego.com/cgi/entity_page.cgi?term=100&amp;id=-880045481","tRNA-dihydrouridine(16/17) synthase [NAD(P)(+)]-like")</f>
        <v>tRNA-dihydrouridine(16/17) synthase [NAD(P)(+)]-like</v>
      </c>
      <c r="F75" s="5">
        <v>1.9882800882242</v>
      </c>
      <c r="G75" s="11">
        <v>2.155996E-2</v>
      </c>
    </row>
    <row r="76" spans="1:7" ht="60" customHeight="1">
      <c r="A76" s="14">
        <v>75</v>
      </c>
      <c r="B76" s="15" t="s">
        <v>227</v>
      </c>
      <c r="C76" s="12" t="str">
        <f>HYPERLINK("http://portal.genego.com/cgi/entity_page.cgi?term=20&amp;id=-532574497","LOC100506289")</f>
        <v>LOC100506289</v>
      </c>
      <c r="D76" s="14"/>
      <c r="E76" s="12"/>
      <c r="F76" s="5">
        <v>1.9743017675980301</v>
      </c>
      <c r="G76" s="11">
        <v>9.9860769999999995E-3</v>
      </c>
    </row>
    <row r="77" spans="1:7" ht="60" customHeight="1">
      <c r="A77" s="14">
        <v>76</v>
      </c>
      <c r="B77" s="15" t="s">
        <v>182</v>
      </c>
      <c r="C77" s="12" t="str">
        <f>HYPERLINK("http://portal.genego.com/cgi/entity_page.cgi?term=20&amp;id=2145081695","SHANK2")</f>
        <v>SHANK2</v>
      </c>
      <c r="D77" s="14" t="s">
        <v>8</v>
      </c>
      <c r="E77" s="12"/>
      <c r="F77" s="5">
        <v>1.97296636037808</v>
      </c>
      <c r="G77" s="11">
        <v>2.9950149999999998E-2</v>
      </c>
    </row>
    <row r="78" spans="1:7" ht="60" customHeight="1">
      <c r="A78" s="14">
        <v>77</v>
      </c>
      <c r="B78" s="15" t="s">
        <v>219</v>
      </c>
      <c r="C78" s="12" t="str">
        <f>HYPERLINK("http://portal.genego.com/cgi/entity_page.cgi?term=20&amp;id=80110","ZNF614")</f>
        <v>ZNF614</v>
      </c>
      <c r="D78" s="14" t="s">
        <v>8</v>
      </c>
      <c r="E78" s="12" t="str">
        <f>HYPERLINK("http://portal.genego.com/cgi/entity_page.cgi?term=100&amp;id=-1270667512","Zinc finger protein 614")</f>
        <v>Zinc finger protein 614</v>
      </c>
      <c r="F78" s="5">
        <v>1.97277929549983</v>
      </c>
      <c r="G78" s="11">
        <v>2.7667069999999998E-2</v>
      </c>
    </row>
    <row r="79" spans="1:7" ht="60" customHeight="1">
      <c r="A79" s="14">
        <v>78</v>
      </c>
      <c r="B79" s="15" t="s">
        <v>37</v>
      </c>
      <c r="C79" s="12" t="str">
        <f>HYPERLINK("http://portal.genego.com/cgi/entity_page.cgi?term=20&amp;id=203197","C9orf91")</f>
        <v>C9orf91</v>
      </c>
      <c r="D79" s="14" t="s">
        <v>8</v>
      </c>
      <c r="E79" s="12" t="str">
        <f>HYPERLINK("http://portal.genego.com/cgi/entity_page.cgi?term=100&amp;id=-1026187426","Transmembrane protein C9orf91")</f>
        <v>Transmembrane protein C9orf91</v>
      </c>
      <c r="F79" s="5">
        <v>1.9199676270861701</v>
      </c>
      <c r="G79" s="11">
        <v>3.9248350000000001E-2</v>
      </c>
    </row>
    <row r="80" spans="1:7" ht="60" customHeight="1">
      <c r="A80" s="14">
        <v>79</v>
      </c>
      <c r="B80" s="15" t="s">
        <v>10</v>
      </c>
      <c r="C80" s="12" t="str">
        <f>HYPERLINK("http://portal.genego.com/cgi/entity_page.cgi?term=20&amp;id=-447571422","ABCC4")</f>
        <v>ABCC4</v>
      </c>
      <c r="D80" s="14" t="s">
        <v>11</v>
      </c>
      <c r="E80" s="12" t="str">
        <f>HYPERLINK("http://portal.genego.com/cgi/entity_page.cgi?term=100&amp;id=-940677178","Multidrug resistance-associated protein 4")</f>
        <v>Multidrug resistance-associated protein 4</v>
      </c>
      <c r="F80" s="5">
        <v>1.87726570529382</v>
      </c>
      <c r="G80" s="11">
        <v>4.8257729999999998E-4</v>
      </c>
    </row>
    <row r="81" spans="1:7" ht="60" customHeight="1">
      <c r="A81" s="14">
        <v>80</v>
      </c>
      <c r="B81" s="15" t="s">
        <v>179</v>
      </c>
      <c r="C81" s="12" t="str">
        <f>HYPERLINK("http://portal.genego.com/cgi/entity_page.cgi?term=20&amp;id=431876952","SDCCAG3")</f>
        <v>SDCCAG3</v>
      </c>
      <c r="D81" s="14" t="s">
        <v>21</v>
      </c>
      <c r="E81" s="12" t="str">
        <f>HYPERLINK("http://portal.genego.com/cgi/entity_page.cgi?term=100&amp;id=-580864885","Serologically defined colon cancer antigen 3")</f>
        <v>Serologically defined colon cancer antigen 3</v>
      </c>
      <c r="F81" s="5">
        <v>1.8658833908627299</v>
      </c>
      <c r="G81" s="11">
        <v>1.66351E-2</v>
      </c>
    </row>
    <row r="82" spans="1:7" ht="60" customHeight="1">
      <c r="A82" s="14">
        <v>81</v>
      </c>
      <c r="B82" s="15" t="s">
        <v>186</v>
      </c>
      <c r="C82" s="12" t="str">
        <f>HYPERLINK("http://portal.genego.com/cgi/entity_page.cgi?term=20&amp;id=1545878768","SLC43A1")</f>
        <v>SLC43A1</v>
      </c>
      <c r="D82" s="14" t="s">
        <v>51</v>
      </c>
      <c r="E82" s="12" t="str">
        <f>HYPERLINK("http://portal.genego.com/cgi/entity_page.cgi?term=100&amp;id=-861742719","Large neutral amino acids transporter small subunit 3")</f>
        <v>Large neutral amino acids transporter small subunit 3</v>
      </c>
      <c r="F82" s="5">
        <v>1.86369680442693</v>
      </c>
      <c r="G82" s="11">
        <v>1.6568570000000001E-2</v>
      </c>
    </row>
    <row r="83" spans="1:7" ht="60" customHeight="1">
      <c r="A83" s="14">
        <v>82</v>
      </c>
      <c r="B83" s="15" t="s">
        <v>31</v>
      </c>
      <c r="C83" s="12" t="str">
        <f>HYPERLINK("http://portal.genego.com/cgi/entity_page.cgi?term=20&amp;id=456548674","BICD1")</f>
        <v>BICD1</v>
      </c>
      <c r="D83" s="14" t="s">
        <v>8</v>
      </c>
      <c r="E83" s="12" t="str">
        <f>HYPERLINK("http://portal.genego.com/cgi/entity_page.cgi?term=100&amp;id=-2017094322","Protein bicaudal D homolog 1")</f>
        <v>Protein bicaudal D homolog 1</v>
      </c>
      <c r="F83" s="5">
        <v>1.8592900333318301</v>
      </c>
      <c r="G83" s="11">
        <v>1.5624199999999999E-3</v>
      </c>
    </row>
    <row r="84" spans="1:7" ht="60" customHeight="1">
      <c r="A84" s="14">
        <v>83</v>
      </c>
      <c r="B84" s="15" t="s">
        <v>71</v>
      </c>
      <c r="C84" s="12" t="str">
        <f>HYPERLINK("http://portal.genego.com/cgi/entity_page.cgi?term=20&amp;id=357699522","ENC1")</f>
        <v>ENC1</v>
      </c>
      <c r="D84" s="14" t="s">
        <v>8</v>
      </c>
      <c r="E84" s="12" t="str">
        <f>HYPERLINK("http://portal.genego.com/cgi/entity_page.cgi?term=100&amp;id=-602883061","Ectoderm-neural cortex protein 1")</f>
        <v>Ectoderm-neural cortex protein 1</v>
      </c>
      <c r="F84" s="5">
        <v>1.85822190986489</v>
      </c>
      <c r="G84" s="11">
        <v>1.628436E-3</v>
      </c>
    </row>
    <row r="85" spans="1:7" ht="60" customHeight="1">
      <c r="A85" s="14">
        <v>84</v>
      </c>
      <c r="B85" s="15" t="s">
        <v>192</v>
      </c>
      <c r="C85" s="12" t="str">
        <f>HYPERLINK("http://portal.genego.com/cgi/entity_page.cgi?term=20&amp;id=55333","SYNJ2BP")</f>
        <v>SYNJ2BP</v>
      </c>
      <c r="D85" s="14" t="s">
        <v>8</v>
      </c>
      <c r="E85" s="12" t="str">
        <f>HYPERLINK("http://portal.genego.com/cgi/entity_page.cgi?term=100&amp;id=-1710925191","Synaptojanin-2-binding protein")</f>
        <v>Synaptojanin-2-binding protein</v>
      </c>
      <c r="F85" s="5">
        <v>1.8500792686657099</v>
      </c>
      <c r="G85" s="11">
        <v>1.5275479999999999E-2</v>
      </c>
    </row>
    <row r="86" spans="1:7" ht="60" customHeight="1">
      <c r="A86" s="14">
        <v>85</v>
      </c>
      <c r="B86" s="15" t="s">
        <v>129</v>
      </c>
      <c r="C86" s="12" t="str">
        <f>HYPERLINK("http://portal.genego.com/cgi/entity_page.cgi?term=20&amp;id=9645","MICAL2")</f>
        <v>MICAL2</v>
      </c>
      <c r="D86" s="14" t="s">
        <v>8</v>
      </c>
      <c r="E86" s="12" t="str">
        <f>HYPERLINK("http://portal.genego.com/cgi/entity_page.cgi?term=100&amp;id=-108022008","Protein-methionine sulfoxide oxidase MICAL2")</f>
        <v>Protein-methionine sulfoxide oxidase MICAL2</v>
      </c>
      <c r="F86" s="5">
        <v>1.84194766262304</v>
      </c>
      <c r="G86" s="11">
        <v>1.182439E-3</v>
      </c>
    </row>
    <row r="87" spans="1:7" ht="60" customHeight="1">
      <c r="A87" s="14">
        <v>86</v>
      </c>
      <c r="B87" s="15" t="s">
        <v>181</v>
      </c>
      <c r="C87" s="12" t="str">
        <f>HYPERLINK("http://portal.genego.com/cgi/entity_page.cgi?term=20&amp;id=57630","SH3RF1")</f>
        <v>SH3RF1</v>
      </c>
      <c r="D87" s="14" t="s">
        <v>8</v>
      </c>
      <c r="E87" s="12" t="str">
        <f>HYPERLINK("http://portal.genego.com/cgi/entity_page.cgi?term=100&amp;id=6315","E3 ubiquitin-protein ligase SH3RF1")</f>
        <v>E3 ubiquitin-protein ligase SH3RF1</v>
      </c>
      <c r="F87" s="5">
        <v>1.8279842045416601</v>
      </c>
      <c r="G87" s="11">
        <v>4.3785730000000002E-2</v>
      </c>
    </row>
    <row r="88" spans="1:7" ht="60" customHeight="1">
      <c r="A88" s="14">
        <v>87</v>
      </c>
      <c r="B88" s="15" t="s">
        <v>25</v>
      </c>
      <c r="C88" s="12" t="str">
        <f>HYPERLINK("http://portal.genego.com/cgi/entity_page.cgi?term=20&amp;id=-1737949357","ATR")</f>
        <v>ATR</v>
      </c>
      <c r="D88" s="14" t="s">
        <v>26</v>
      </c>
      <c r="E88" s="12" t="str">
        <f>HYPERLINK("http://portal.genego.com/cgi/entity_page.cgi?term=100&amp;id=1110","Serine/threonine-protein kinase ATR")</f>
        <v>Serine/threonine-protein kinase ATR</v>
      </c>
      <c r="F88" s="5">
        <v>1.8238674104565999</v>
      </c>
      <c r="G88" s="11">
        <v>3.407044E-2</v>
      </c>
    </row>
    <row r="89" spans="1:7" ht="60" customHeight="1">
      <c r="A89" s="14">
        <v>88</v>
      </c>
      <c r="B89" s="15" t="s">
        <v>87</v>
      </c>
      <c r="C89" s="12" t="str">
        <f>HYPERLINK("http://portal.genego.com/cgi/entity_page.cgi?term=20&amp;id=2015874351","FMO5")</f>
        <v>FMO5</v>
      </c>
      <c r="D89" s="14" t="s">
        <v>13</v>
      </c>
      <c r="E89" s="12" t="str">
        <f>HYPERLINK("http://portal.genego.com/cgi/entity_page.cgi?term=100&amp;id=-696332138","Dimethylaniline monooxygenase [N-oxide-forming] 5")</f>
        <v>Dimethylaniline monooxygenase [N-oxide-forming] 5</v>
      </c>
      <c r="F89" s="5">
        <v>1.82103225122964</v>
      </c>
      <c r="G89" s="11">
        <v>5.4806509999999996E-3</v>
      </c>
    </row>
    <row r="90" spans="1:7" ht="60" customHeight="1">
      <c r="A90" s="14">
        <v>89</v>
      </c>
      <c r="B90" s="15" t="s">
        <v>213</v>
      </c>
      <c r="C90" s="12" t="str">
        <f>HYPERLINK("http://portal.genego.com/cgi/entity_page.cgi?term=20&amp;id=23160","WDR43")</f>
        <v>WDR43</v>
      </c>
      <c r="D90" s="14" t="s">
        <v>21</v>
      </c>
      <c r="E90" s="12" t="str">
        <f>HYPERLINK("http://portal.genego.com/cgi/entity_page.cgi?term=100&amp;id=1285106278","WD repeat-containing protein 43")</f>
        <v>WD repeat-containing protein 43</v>
      </c>
      <c r="F90" s="5">
        <v>1.8168574896088701</v>
      </c>
      <c r="G90" s="11">
        <v>4.585902E-2</v>
      </c>
    </row>
    <row r="91" spans="1:7" ht="60" customHeight="1">
      <c r="A91" s="14">
        <v>90</v>
      </c>
      <c r="B91" s="15" t="s">
        <v>224</v>
      </c>
      <c r="C91" s="12" t="str">
        <f>HYPERLINK("http://portal.genego.com/cgi/entity_page.cgi?term=20&amp;id=84273","NOA1")</f>
        <v>NOA1</v>
      </c>
      <c r="D91" s="14" t="s">
        <v>8</v>
      </c>
      <c r="E91" s="12" t="str">
        <f>HYPERLINK("http://portal.genego.com/cgi/entity_page.cgi?term=100&amp;id=-2129662149","Nitric oxide-associated protein 1")</f>
        <v>Nitric oxide-associated protein 1</v>
      </c>
      <c r="F91" s="5">
        <v>1.75653990014963</v>
      </c>
      <c r="G91" s="11">
        <v>3.27649E-2</v>
      </c>
    </row>
    <row r="92" spans="1:7" ht="60" customHeight="1">
      <c r="A92" s="14">
        <v>91</v>
      </c>
      <c r="B92" s="15" t="s">
        <v>153</v>
      </c>
      <c r="C92" s="12" t="str">
        <f>HYPERLINK("http://portal.genego.com/cgi/entity_page.cgi?term=20&amp;id=-746508684","GDF15")</f>
        <v>GDF15</v>
      </c>
      <c r="D92" s="14" t="s">
        <v>42</v>
      </c>
      <c r="E92" s="12" t="str">
        <f>HYPERLINK("http://portal.genego.com/cgi/entity_page.cgi?term=100&amp;id=4506","Growth/differentiation factor 15")</f>
        <v>Growth/differentiation factor 15</v>
      </c>
      <c r="F92" s="5">
        <v>1.7405008495912</v>
      </c>
      <c r="G92" s="11">
        <v>3.8817369999999997E-2</v>
      </c>
    </row>
    <row r="93" spans="1:7" ht="60" customHeight="1">
      <c r="A93" s="14">
        <v>92</v>
      </c>
      <c r="B93" s="15" t="s">
        <v>180</v>
      </c>
      <c r="C93" s="12" t="str">
        <f>HYPERLINK("http://portal.genego.com/cgi/entity_page.cgi?term=20&amp;id=221935","SDK1")</f>
        <v>SDK1</v>
      </c>
      <c r="D93" s="14" t="s">
        <v>8</v>
      </c>
      <c r="E93" s="12" t="str">
        <f>HYPERLINK("http://portal.genego.com/cgi/entity_page.cgi?term=100&amp;id=-766348491","Protein sidekick-1")</f>
        <v>Protein sidekick-1</v>
      </c>
      <c r="F93" s="5">
        <v>1.72694830447925</v>
      </c>
      <c r="G93" s="11">
        <v>2.978999E-3</v>
      </c>
    </row>
    <row r="94" spans="1:7" ht="60" customHeight="1">
      <c r="A94" s="14">
        <v>93</v>
      </c>
      <c r="B94" s="15" t="s">
        <v>9</v>
      </c>
      <c r="C94" s="12" t="str">
        <f>HYPERLINK("http://portal.genego.com/cgi/entity_page.cgi?term=20&amp;id=1262177556","EIF4EBP1")</f>
        <v>EIF4EBP1</v>
      </c>
      <c r="D94" s="14" t="s">
        <v>8</v>
      </c>
      <c r="E94" s="12" t="str">
        <f>HYPERLINK("http://portal.genego.com/cgi/entity_page.cgi?term=100&amp;id=12","Eukaryotic translation initiation factor 4E-binding protein 1")</f>
        <v>Eukaryotic translation initiation factor 4E-binding protein 1</v>
      </c>
      <c r="F94" s="5">
        <v>1.7233182039371</v>
      </c>
      <c r="G94" s="11">
        <v>4.570784E-2</v>
      </c>
    </row>
    <row r="95" spans="1:7" ht="60" customHeight="1">
      <c r="A95" s="14">
        <v>94</v>
      </c>
      <c r="B95" s="15" t="s">
        <v>126</v>
      </c>
      <c r="C95" s="12" t="str">
        <f>HYPERLINK("http://portal.genego.com/cgi/entity_page.cgi?term=20&amp;id=-1948434413","MAP7")</f>
        <v>MAP7</v>
      </c>
      <c r="D95" s="14" t="s">
        <v>8</v>
      </c>
      <c r="E95" s="12" t="str">
        <f>HYPERLINK("http://portal.genego.com/cgi/entity_page.cgi?term=100&amp;id=-354529917","Ensconsin")</f>
        <v>Ensconsin</v>
      </c>
      <c r="F95" s="5">
        <v>1.7204782694816301</v>
      </c>
      <c r="G95" s="11">
        <v>1.2660670000000001E-2</v>
      </c>
    </row>
    <row r="96" spans="1:7" ht="60" customHeight="1">
      <c r="A96" s="14">
        <v>95</v>
      </c>
      <c r="B96" s="15" t="s">
        <v>123</v>
      </c>
      <c r="C96" s="12" t="str">
        <f>HYPERLINK("http://portal.genego.com/cgi/entity_page.cgi?term=20&amp;id=1009558098","RPL31")</f>
        <v>RPL31</v>
      </c>
      <c r="D96" s="14" t="s">
        <v>21</v>
      </c>
      <c r="E96" s="12"/>
      <c r="F96" s="5">
        <v>1.7136691996529501</v>
      </c>
      <c r="G96" s="11">
        <v>1.942601E-2</v>
      </c>
    </row>
    <row r="97" spans="1:7" ht="60" customHeight="1">
      <c r="A97" s="14">
        <v>96</v>
      </c>
      <c r="B97" s="15" t="s">
        <v>36</v>
      </c>
      <c r="C97" s="12" t="str">
        <f>HYPERLINK("http://portal.genego.com/cgi/entity_page.cgi?term=20&amp;id=-1239714648","PTRHD1")</f>
        <v>PTRHD1</v>
      </c>
      <c r="D97" s="14" t="s">
        <v>21</v>
      </c>
      <c r="E97" s="12" t="str">
        <f>HYPERLINK("http://portal.genego.com/cgi/entity_page.cgi?term=100&amp;id=-1320805520","Putative peptidyl-tRNA hydrolase PTRHD1")</f>
        <v>Putative peptidyl-tRNA hydrolase PTRHD1</v>
      </c>
      <c r="F97" s="5">
        <v>1.69998089688655</v>
      </c>
      <c r="G97" s="11">
        <v>1.50644E-2</v>
      </c>
    </row>
    <row r="98" spans="1:7" ht="60" customHeight="1">
      <c r="A98" s="14">
        <v>97</v>
      </c>
      <c r="B98" s="15" t="s">
        <v>34</v>
      </c>
      <c r="C98" s="12" t="str">
        <f>HYPERLINK("http://portal.genego.com/cgi/entity_page.cgi?term=20&amp;id=-1523712434","C12orf73")</f>
        <v>C12orf73</v>
      </c>
      <c r="D98" s="14" t="s">
        <v>21</v>
      </c>
      <c r="E98" s="12" t="str">
        <f>HYPERLINK("http://portal.genego.com/cgi/entity_page.cgi?term=100&amp;id=-928708975","Uncharacterized protein C12orf73")</f>
        <v>Uncharacterized protein C12orf73</v>
      </c>
      <c r="F98" s="5">
        <v>1.68673264477857</v>
      </c>
      <c r="G98" s="11">
        <v>4.570784E-2</v>
      </c>
    </row>
    <row r="99" spans="1:7" ht="60" customHeight="1">
      <c r="A99" s="14">
        <v>98</v>
      </c>
      <c r="B99" s="15" t="s">
        <v>134</v>
      </c>
      <c r="C99" s="12" t="str">
        <f>HYPERLINK("http://portal.genego.com/cgi/entity_page.cgi?term=20&amp;id=637460584","MTRR")</f>
        <v>MTRR</v>
      </c>
      <c r="D99" s="14" t="s">
        <v>13</v>
      </c>
      <c r="E99" s="12" t="str">
        <f>HYPERLINK("http://portal.genego.com/cgi/entity_page.cgi?term=100&amp;id=-1530222112","Methionine synthase reductase")</f>
        <v>Methionine synthase reductase</v>
      </c>
      <c r="F99" s="5">
        <v>1.6669755003545701</v>
      </c>
      <c r="G99" s="11">
        <v>4.8462230000000002E-3</v>
      </c>
    </row>
    <row r="100" spans="1:7" ht="60" customHeight="1">
      <c r="A100" s="14">
        <v>99</v>
      </c>
      <c r="B100" s="15" t="s">
        <v>178</v>
      </c>
      <c r="C100" s="12" t="str">
        <f>HYPERLINK("http://portal.genego.com/cgi/entity_page.cgi?term=20&amp;id=57147","SCYL3")</f>
        <v>SCYL3</v>
      </c>
      <c r="D100" s="14" t="s">
        <v>8</v>
      </c>
      <c r="E100" s="12" t="str">
        <f>HYPERLINK("http://portal.genego.com/cgi/entity_page.cgi?term=100&amp;id=-547773331","Protein-associating with the carboxyl-terminal domain of ezrin")</f>
        <v>Protein-associating with the carboxyl-terminal domain of ezrin</v>
      </c>
      <c r="F100" s="5">
        <v>1.6632890420092901</v>
      </c>
      <c r="G100" s="11">
        <v>4.7688330000000001E-2</v>
      </c>
    </row>
    <row r="101" spans="1:7" ht="60" customHeight="1">
      <c r="A101" s="14">
        <v>100</v>
      </c>
      <c r="B101" s="15" t="s">
        <v>72</v>
      </c>
      <c r="C101" s="12" t="str">
        <f>HYPERLINK("http://portal.genego.com/cgi/entity_page.cgi?term=20&amp;id=10611","PDLIM5")</f>
        <v>PDLIM5</v>
      </c>
      <c r="D101" s="14" t="s">
        <v>8</v>
      </c>
      <c r="E101" s="12" t="str">
        <f>HYPERLINK("http://portal.genego.com/cgi/entity_page.cgi?term=100&amp;id=-838775140","PDZ and LIM domain protein 5")</f>
        <v>PDZ and LIM domain protein 5</v>
      </c>
      <c r="F101" s="5">
        <v>1.6575569130569801</v>
      </c>
      <c r="G101" s="11">
        <v>5.7782520000000002E-3</v>
      </c>
    </row>
    <row r="102" spans="1:7" ht="60" customHeight="1">
      <c r="A102" s="14">
        <v>101</v>
      </c>
      <c r="B102" s="15" t="s">
        <v>100</v>
      </c>
      <c r="C102" s="12" t="str">
        <f>HYPERLINK("http://portal.genego.com/cgi/entity_page.cgi?term=20&amp;id=92292","GLYATL1")</f>
        <v>GLYATL1</v>
      </c>
      <c r="D102" s="14" t="s">
        <v>13</v>
      </c>
      <c r="E102" s="12" t="str">
        <f>HYPERLINK("http://portal.genego.com/cgi/entity_page.cgi?term=100&amp;id=-644971881","Glycine N-acyltransferase-like protein 1")</f>
        <v>Glycine N-acyltransferase-like protein 1</v>
      </c>
      <c r="F102" s="5">
        <v>1.65360511173458</v>
      </c>
      <c r="G102" s="11">
        <v>8.6564729999999996E-3</v>
      </c>
    </row>
    <row r="103" spans="1:7" ht="60" customHeight="1">
      <c r="A103" s="14">
        <v>102</v>
      </c>
      <c r="B103" s="15" t="s">
        <v>32</v>
      </c>
      <c r="C103" s="12" t="str">
        <f>HYPERLINK("http://portal.genego.com/cgi/entity_page.cgi?term=20&amp;id=164548742","ADRB1")</f>
        <v>ADRB1</v>
      </c>
      <c r="D103" s="14" t="s">
        <v>33</v>
      </c>
      <c r="E103" s="12" t="str">
        <f>HYPERLINK("http://portal.genego.com/cgi/entity_page.cgi?term=100&amp;id=-829061963","Beta-1 adrenergic receptor")</f>
        <v>Beta-1 adrenergic receptor</v>
      </c>
      <c r="F103" s="5">
        <v>1.6410321444395799</v>
      </c>
      <c r="G103" s="11">
        <v>2.9144879999999998E-3</v>
      </c>
    </row>
    <row r="104" spans="1:7" ht="60" customHeight="1">
      <c r="A104" s="14">
        <v>103</v>
      </c>
      <c r="B104" s="15" t="s">
        <v>136</v>
      </c>
      <c r="C104" s="12" t="str">
        <f>HYPERLINK("http://portal.genego.com/cgi/entity_page.cgi?term=20&amp;id=50804","MYEF2")</f>
        <v>MYEF2</v>
      </c>
      <c r="D104" s="14" t="s">
        <v>66</v>
      </c>
      <c r="E104" s="12" t="str">
        <f>HYPERLINK("http://portal.genego.com/cgi/entity_page.cgi?term=100&amp;id=-1541359456","Myelin expression factor 2")</f>
        <v>Myelin expression factor 2</v>
      </c>
      <c r="F104" s="5">
        <v>1.6268417222649101</v>
      </c>
      <c r="G104" s="11">
        <v>1.5624199999999999E-3</v>
      </c>
    </row>
    <row r="105" spans="1:7" ht="60" customHeight="1">
      <c r="A105" s="14">
        <v>104</v>
      </c>
      <c r="B105" s="15" t="s">
        <v>22</v>
      </c>
      <c r="C105" s="12" t="str">
        <f>HYPERLINK("http://portal.genego.com/cgi/entity_page.cgi?term=20&amp;id=502524510","APEX1")</f>
        <v>APEX1</v>
      </c>
      <c r="D105" s="14" t="s">
        <v>13</v>
      </c>
      <c r="E105" s="12" t="str">
        <f>HYPERLINK("http://portal.genego.com/cgi/entity_page.cgi?term=100&amp;id=4559","DNA-(apurinic or apyrimidinic site) lyase")</f>
        <v>DNA-(apurinic or apyrimidinic site) lyase</v>
      </c>
      <c r="F105" s="5">
        <v>1.62445804980171</v>
      </c>
      <c r="G105" s="11">
        <v>1.116079E-2</v>
      </c>
    </row>
    <row r="106" spans="1:7" ht="60" customHeight="1">
      <c r="A106" s="14">
        <v>105</v>
      </c>
      <c r="B106" s="15" t="s">
        <v>65</v>
      </c>
      <c r="C106" s="12" t="str">
        <f>HYPERLINK("http://portal.genego.com/cgi/entity_page.cgi?term=20&amp;id=-1638567433","DLX1")</f>
        <v>DLX1</v>
      </c>
      <c r="D106" s="14" t="s">
        <v>66</v>
      </c>
      <c r="E106" s="12" t="str">
        <f>HYPERLINK("http://portal.genego.com/cgi/entity_page.cgi?term=100&amp;id=-1340684906","Homeobox protein DLX-1")</f>
        <v>Homeobox protein DLX-1</v>
      </c>
      <c r="F106" s="5">
        <v>1.6212197038365099</v>
      </c>
      <c r="G106" s="11">
        <v>1.78163E-2</v>
      </c>
    </row>
    <row r="107" spans="1:7" ht="60" customHeight="1">
      <c r="A107" s="14">
        <v>106</v>
      </c>
      <c r="B107" s="15" t="s">
        <v>82</v>
      </c>
      <c r="C107" s="12" t="str">
        <f>HYPERLINK("http://portal.genego.com/cgi/entity_page.cgi?term=20&amp;id=79850","FAM57A")</f>
        <v>FAM57A</v>
      </c>
      <c r="D107" s="14" t="s">
        <v>21</v>
      </c>
      <c r="E107" s="12" t="str">
        <f>HYPERLINK("http://portal.genego.com/cgi/entity_page.cgi?term=100&amp;id=-215261880","Protein FAM57A")</f>
        <v>Protein FAM57A</v>
      </c>
      <c r="F107" s="5">
        <v>1.6141509302671599</v>
      </c>
      <c r="G107" s="11">
        <v>4.3409400000000001E-2</v>
      </c>
    </row>
    <row r="108" spans="1:7" ht="60" customHeight="1">
      <c r="A108" s="14">
        <v>107</v>
      </c>
      <c r="B108" s="15" t="s">
        <v>173</v>
      </c>
      <c r="C108" s="12" t="str">
        <f>HYPERLINK("http://portal.genego.com/cgi/entity_page.cgi?term=20&amp;id=791518163","RAP1GAP")</f>
        <v>RAP1GAP</v>
      </c>
      <c r="D108" s="14" t="s">
        <v>138</v>
      </c>
      <c r="E108" s="12" t="str">
        <f>HYPERLINK("http://portal.genego.com/cgi/entity_page.cgi?term=100&amp;id=679","Rap1 GTPase-activating protein 1")</f>
        <v>Rap1 GTPase-activating protein 1</v>
      </c>
      <c r="F108" s="5">
        <v>1.6107421045688</v>
      </c>
      <c r="G108" s="11">
        <v>3.034245E-2</v>
      </c>
    </row>
    <row r="109" spans="1:7" ht="60" customHeight="1">
      <c r="A109" s="14">
        <v>108</v>
      </c>
      <c r="B109" s="15" t="s">
        <v>188</v>
      </c>
      <c r="C109" s="12" t="str">
        <f>HYPERLINK("http://portal.genego.com/cgi/entity_page.cgi?term=20&amp;id=813630815","SOX4")</f>
        <v>SOX4</v>
      </c>
      <c r="D109" s="14" t="s">
        <v>66</v>
      </c>
      <c r="E109" s="12" t="str">
        <f>HYPERLINK("http://portal.genego.com/cgi/entity_page.cgi?term=100&amp;id=4307","Transcription factor SOX-4")</f>
        <v>Transcription factor SOX-4</v>
      </c>
      <c r="F109" s="5">
        <v>1.55851602476976</v>
      </c>
      <c r="G109" s="11">
        <v>1.7792539999999999E-2</v>
      </c>
    </row>
    <row r="110" spans="1:7" ht="60" customHeight="1">
      <c r="A110" s="14">
        <v>109</v>
      </c>
      <c r="B110" s="15" t="s">
        <v>125</v>
      </c>
      <c r="C110" s="12" t="str">
        <f>HYPERLINK("http://portal.genego.com/cgi/entity_page.cgi?term=20&amp;id=-1807345960","MAML3")</f>
        <v>MAML3</v>
      </c>
      <c r="D110" s="14" t="s">
        <v>8</v>
      </c>
      <c r="E110" s="12" t="str">
        <f>HYPERLINK("http://portal.genego.com/cgi/entity_page.cgi?term=100&amp;id=-722721169","Mastermind-like protein 3")</f>
        <v>Mastermind-like protein 3</v>
      </c>
      <c r="F110" s="5">
        <v>1.5317738363175299</v>
      </c>
      <c r="G110" s="11">
        <v>3.3355619999999998E-3</v>
      </c>
    </row>
    <row r="111" spans="1:7" ht="60" customHeight="1">
      <c r="A111" s="14">
        <v>110</v>
      </c>
      <c r="B111" s="15" t="s">
        <v>12</v>
      </c>
      <c r="C111" s="12" t="str">
        <f>HYPERLINK("http://portal.genego.com/cgi/entity_page.cgi?term=20&amp;id=1172397444","ACSM1")</f>
        <v>ACSM1</v>
      </c>
      <c r="D111" s="14" t="s">
        <v>13</v>
      </c>
      <c r="E111" s="12" t="str">
        <f>HYPERLINK("http://portal.genego.com/cgi/entity_page.cgi?term=100&amp;id=-1544997932","Acyl-coenzyme A synthetase ACSM1, mitochondrial")</f>
        <v>Acyl-coenzyme A synthetase ACSM1, mitochondrial</v>
      </c>
      <c r="F111" s="5">
        <v>1.5201358470498401</v>
      </c>
      <c r="G111" s="11">
        <v>1.9093499999999999E-2</v>
      </c>
    </row>
    <row r="112" spans="1:7" ht="60" customHeight="1">
      <c r="A112" s="14">
        <v>111</v>
      </c>
      <c r="B112" s="15" t="s">
        <v>99</v>
      </c>
      <c r="C112" s="12" t="str">
        <f>HYPERLINK("http://portal.genego.com/cgi/entity_page.cgi?term=20&amp;id=921442720","GMDS")</f>
        <v>GMDS</v>
      </c>
      <c r="D112" s="14" t="s">
        <v>13</v>
      </c>
      <c r="E112" s="12" t="str">
        <f>HYPERLINK("http://portal.genego.com/cgi/entity_page.cgi?term=100&amp;id=-843435412","GDP-mannose 4,6 dehydratase")</f>
        <v>GDP-mannose 4,6 dehydratase</v>
      </c>
      <c r="F112" s="5">
        <v>1.5131808507320099</v>
      </c>
      <c r="G112" s="11">
        <v>7.9184419999999995E-3</v>
      </c>
    </row>
    <row r="113" spans="1:7" ht="60" customHeight="1">
      <c r="A113" s="14">
        <v>112</v>
      </c>
      <c r="B113" s="15" t="s">
        <v>211</v>
      </c>
      <c r="C113" s="12" t="str">
        <f>HYPERLINK("http://portal.genego.com/cgi/entity_page.cgi?term=20&amp;id=-1879068881","VEGFA")</f>
        <v>VEGFA</v>
      </c>
      <c r="D113" s="14" t="s">
        <v>42</v>
      </c>
      <c r="E113" s="12" t="str">
        <f>HYPERLINK("http://portal.genego.com/cgi/entity_page.cgi?term=100&amp;id=806","Vascular endothelial growth factor A")</f>
        <v>Vascular endothelial growth factor A</v>
      </c>
      <c r="F113" s="10">
        <v>-1.5072660470196599</v>
      </c>
      <c r="G113" s="11">
        <v>3.8618439999999997E-2</v>
      </c>
    </row>
    <row r="114" spans="1:7" ht="60" customHeight="1">
      <c r="A114" s="14">
        <v>113</v>
      </c>
      <c r="B114" s="15" t="s">
        <v>84</v>
      </c>
      <c r="C114" s="12" t="str">
        <f>HYPERLINK("http://portal.genego.com/cgi/entity_page.cgi?term=20&amp;id=85462","FHDC1")</f>
        <v>FHDC1</v>
      </c>
      <c r="D114" s="14" t="s">
        <v>8</v>
      </c>
      <c r="E114" s="12" t="str">
        <f>HYPERLINK("http://portal.genego.com/cgi/entity_page.cgi?term=100&amp;id=-201317947","FH2 domain-containing protein 1")</f>
        <v>FH2 domain-containing protein 1</v>
      </c>
      <c r="F114" s="10">
        <v>-1.5260119678261399</v>
      </c>
      <c r="G114" s="11">
        <v>4.4192330000000002E-2</v>
      </c>
    </row>
    <row r="115" spans="1:7" ht="60" customHeight="1">
      <c r="A115" s="14">
        <v>114</v>
      </c>
      <c r="B115" s="15" t="s">
        <v>193</v>
      </c>
      <c r="C115" s="12" t="str">
        <f>HYPERLINK("http://portal.genego.com/cgi/entity_page.cgi?term=20&amp;id=81855","SFXN3")</f>
        <v>SFXN3</v>
      </c>
      <c r="D115" s="14" t="s">
        <v>51</v>
      </c>
      <c r="E115" s="12" t="str">
        <f>HYPERLINK("http://portal.genego.com/cgi/entity_page.cgi?term=100&amp;id=-629688906","Sideroflexin-3")</f>
        <v>Sideroflexin-3</v>
      </c>
      <c r="F115" s="10">
        <v>-1.54000804974127</v>
      </c>
      <c r="G115" s="11">
        <v>4.9815060000000001E-2</v>
      </c>
    </row>
    <row r="116" spans="1:7" ht="60" customHeight="1">
      <c r="A116" s="14">
        <v>115</v>
      </c>
      <c r="B116" s="15" t="s">
        <v>95</v>
      </c>
      <c r="C116" s="12" t="str">
        <f>HYPERLINK("http://portal.genego.com/cgi/entity_page.cgi?term=20&amp;id=271291645","GAS1")</f>
        <v>GAS1</v>
      </c>
      <c r="D116" s="14" t="s">
        <v>8</v>
      </c>
      <c r="E116" s="12" t="str">
        <f>HYPERLINK("http://portal.genego.com/cgi/entity_page.cgi?term=100&amp;id=-1309547351","Growth arrest-specific protein 1")</f>
        <v>Growth arrest-specific protein 1</v>
      </c>
      <c r="F116" s="10">
        <v>-1.5671507499272199</v>
      </c>
      <c r="G116" s="11">
        <v>4.0941959999999999E-2</v>
      </c>
    </row>
    <row r="117" spans="1:7" ht="60" customHeight="1">
      <c r="A117" s="14">
        <v>116</v>
      </c>
      <c r="B117" s="15" t="s">
        <v>78</v>
      </c>
      <c r="C117" s="12" t="str">
        <f>HYPERLINK("http://portal.genego.com/cgi/entity_page.cgi?term=20&amp;id=220160970","MPZL2")</f>
        <v>MPZL2</v>
      </c>
      <c r="D117" s="14" t="s">
        <v>8</v>
      </c>
      <c r="E117" s="12" t="str">
        <f>HYPERLINK("http://portal.genego.com/cgi/entity_page.cgi?term=100&amp;id=-1620859904","Myelin protein zero-like protein 2")</f>
        <v>Myelin protein zero-like protein 2</v>
      </c>
      <c r="F117" s="10">
        <v>-1.6073706692579399</v>
      </c>
      <c r="G117" s="11">
        <v>3.594373E-2</v>
      </c>
    </row>
    <row r="118" spans="1:7" ht="60" customHeight="1">
      <c r="A118" s="14">
        <v>117</v>
      </c>
      <c r="B118" s="15" t="s">
        <v>169</v>
      </c>
      <c r="C118" s="12" t="str">
        <f>HYPERLINK("http://portal.genego.com/cgi/entity_page.cgi?term=20&amp;id=901483014","RNASE4")</f>
        <v>RNASE4</v>
      </c>
      <c r="D118" s="14" t="s">
        <v>13</v>
      </c>
      <c r="E118" s="12" t="str">
        <f>HYPERLINK("http://portal.genego.com/cgi/entity_page.cgi?term=100&amp;id=-1288739175","Ribonuclease 4")</f>
        <v>Ribonuclease 4</v>
      </c>
      <c r="F118" s="10">
        <v>-1.6588712093511899</v>
      </c>
      <c r="G118" s="11">
        <v>3.4855820000000003E-2</v>
      </c>
    </row>
    <row r="119" spans="1:7" ht="60" customHeight="1">
      <c r="A119" s="14">
        <v>118</v>
      </c>
      <c r="B119" s="15" t="s">
        <v>189</v>
      </c>
      <c r="C119" s="12" t="str">
        <f>HYPERLINK("http://portal.genego.com/cgi/entity_page.cgi?term=20&amp;id=93349","SP140L")</f>
        <v>SP140L</v>
      </c>
      <c r="D119" s="14" t="s">
        <v>8</v>
      </c>
      <c r="E119" s="12" t="str">
        <f>HYPERLINK("http://portal.genego.com/cgi/entity_page.cgi?term=100&amp;id=-1841045274","Nuclear body protein SP140-like protein")</f>
        <v>Nuclear body protein SP140-like protein</v>
      </c>
      <c r="F119" s="10">
        <v>-1.6601664968674399</v>
      </c>
      <c r="G119" s="11">
        <v>2.6011780000000002E-2</v>
      </c>
    </row>
    <row r="120" spans="1:7" ht="60" customHeight="1">
      <c r="A120" s="14">
        <v>119</v>
      </c>
      <c r="B120" s="15" t="s">
        <v>15</v>
      </c>
      <c r="C120" s="12" t="str">
        <f>HYPERLINK("http://portal.genego.com/cgi/entity_page.cgi?term=20&amp;id=789761823","ALDH3A2")</f>
        <v>ALDH3A2</v>
      </c>
      <c r="D120" s="14" t="s">
        <v>13</v>
      </c>
      <c r="E120" s="12" t="str">
        <f>HYPERLINK("http://portal.genego.com/cgi/entity_page.cgi?term=100&amp;id=-1138582309","Fatty aldehyde dehydrogenase")</f>
        <v>Fatty aldehyde dehydrogenase</v>
      </c>
      <c r="F120" s="10">
        <v>-1.6740250490335999</v>
      </c>
      <c r="G120" s="11">
        <v>3.3355619999999998E-3</v>
      </c>
    </row>
    <row r="121" spans="1:7" ht="60" customHeight="1">
      <c r="A121" s="14">
        <v>120</v>
      </c>
      <c r="B121" s="15" t="s">
        <v>185</v>
      </c>
      <c r="C121" s="12" t="str">
        <f>HYPERLINK("http://portal.genego.com/cgi/entity_page.cgi?term=20&amp;id=51310","SLC22A17")</f>
        <v>SLC22A17</v>
      </c>
      <c r="D121" s="14" t="s">
        <v>51</v>
      </c>
      <c r="E121" s="12" t="str">
        <f>HYPERLINK("http://portal.genego.com/cgi/entity_page.cgi?term=100&amp;id=-1662669855","Solute carrier family 22 member 17")</f>
        <v>Solute carrier family 22 member 17</v>
      </c>
      <c r="F121" s="10">
        <v>-1.7115215332385001</v>
      </c>
      <c r="G121" s="11">
        <v>5.2741389999999997E-3</v>
      </c>
    </row>
    <row r="122" spans="1:7" ht="60" customHeight="1">
      <c r="A122" s="14">
        <v>121</v>
      </c>
      <c r="B122" s="15" t="s">
        <v>150</v>
      </c>
      <c r="C122" s="12" t="str">
        <f>HYPERLINK("http://portal.genego.com/cgi/entity_page.cgi?term=20&amp;id=25849","PARM1")</f>
        <v>PARM1</v>
      </c>
      <c r="D122" s="14" t="s">
        <v>21</v>
      </c>
      <c r="E122" s="12" t="str">
        <f>HYPERLINK("http://portal.genego.com/cgi/entity_page.cgi?term=100&amp;id=-1857659678","Prostate androgen-regulated mucin-like protein 1")</f>
        <v>Prostate androgen-regulated mucin-like protein 1</v>
      </c>
      <c r="F122" s="10">
        <v>-1.7143296575317299</v>
      </c>
      <c r="G122" s="11">
        <v>1.6554699999999999E-2</v>
      </c>
    </row>
    <row r="123" spans="1:7" ht="60" customHeight="1">
      <c r="A123" s="14">
        <v>122</v>
      </c>
      <c r="B123" s="15" t="s">
        <v>162</v>
      </c>
      <c r="C123" s="12" t="str">
        <f>HYPERLINK("http://portal.genego.com/cgi/entity_page.cgi?term=20&amp;id=-1791154450","ACPP")</f>
        <v>ACPP</v>
      </c>
      <c r="D123" s="14" t="s">
        <v>163</v>
      </c>
      <c r="E123" s="12" t="str">
        <f>HYPERLINK("http://portal.genego.com/cgi/entity_page.cgi?term=100&amp;id=-127545229","Prostatic acid phosphatase")</f>
        <v>Prostatic acid phosphatase</v>
      </c>
      <c r="F123" s="10">
        <v>-1.78164751653042</v>
      </c>
      <c r="G123" s="11">
        <v>3.7002800000000002E-2</v>
      </c>
    </row>
    <row r="124" spans="1:7" ht="60" customHeight="1">
      <c r="A124" s="14">
        <v>123</v>
      </c>
      <c r="B124" s="15" t="s">
        <v>210</v>
      </c>
      <c r="C124" s="12" t="str">
        <f>HYPERLINK("http://portal.genego.com/cgi/entity_page.cgi?term=20&amp;id=556401675","UPK1A")</f>
        <v>UPK1A</v>
      </c>
      <c r="D124" s="14" t="s">
        <v>106</v>
      </c>
      <c r="E124" s="12" t="str">
        <f>HYPERLINK("http://portal.genego.com/cgi/entity_page.cgi?term=100&amp;id=-931083717","Uroplakin-1a")</f>
        <v>Uroplakin-1a</v>
      </c>
      <c r="F124" s="10">
        <v>-1.79646616123271</v>
      </c>
      <c r="G124" s="11">
        <v>5.1928180000000001E-3</v>
      </c>
    </row>
    <row r="125" spans="1:7" ht="60" customHeight="1">
      <c r="A125" s="14">
        <v>124</v>
      </c>
      <c r="B125" s="15" t="s">
        <v>142</v>
      </c>
      <c r="C125" s="12" t="str">
        <f>HYPERLINK("http://portal.genego.com/cgi/entity_page.cgi?term=20&amp;id=57126","CD177")</f>
        <v>CD177</v>
      </c>
      <c r="D125" s="14" t="s">
        <v>8</v>
      </c>
      <c r="E125" s="12" t="str">
        <f>HYPERLINK("http://portal.genego.com/cgi/entity_page.cgi?term=100&amp;id=-1816501856","CD177 antigen")</f>
        <v>CD177 antigen</v>
      </c>
      <c r="F125" s="10">
        <v>-1.8200727680895501</v>
      </c>
      <c r="G125" s="11">
        <v>1.6875600000000001E-2</v>
      </c>
    </row>
    <row r="126" spans="1:7" ht="60" customHeight="1">
      <c r="A126" s="14">
        <v>125</v>
      </c>
      <c r="B126" s="15" t="s">
        <v>172</v>
      </c>
      <c r="C126" s="12" t="str">
        <f>HYPERLINK("http://portal.genego.com/cgi/entity_page.cgi?term=20&amp;id=-1073350662","RAB34")</f>
        <v>RAB34</v>
      </c>
      <c r="D126" s="14" t="s">
        <v>171</v>
      </c>
      <c r="E126" s="12" t="str">
        <f>HYPERLINK("http://portal.genego.com/cgi/entity_page.cgi?term=100&amp;id=-1750558478","Ras-related protein Rab-34")</f>
        <v>Ras-related protein Rab-34</v>
      </c>
      <c r="F126" s="10">
        <v>-1.8800244316135999</v>
      </c>
      <c r="G126" s="11">
        <v>3.7002800000000002E-2</v>
      </c>
    </row>
    <row r="127" spans="1:7" ht="60" customHeight="1">
      <c r="A127" s="14">
        <v>126</v>
      </c>
      <c r="B127" s="15" t="s">
        <v>74</v>
      </c>
      <c r="C127" s="12" t="str">
        <f>HYPERLINK("http://portal.genego.com/cgi/entity_page.cgi?term=20&amp;id=1308183365","EPAS1")</f>
        <v>EPAS1</v>
      </c>
      <c r="D127" s="14" t="s">
        <v>66</v>
      </c>
      <c r="E127" s="12" t="str">
        <f>HYPERLINK("http://portal.genego.com/cgi/entity_page.cgi?term=100&amp;id=6392","Endothelial PAS domain-containing protein 1")</f>
        <v>Endothelial PAS domain-containing protein 1</v>
      </c>
      <c r="F127" s="10">
        <v>-1.8921823061504199</v>
      </c>
      <c r="G127" s="11">
        <v>1.50644E-2</v>
      </c>
    </row>
    <row r="128" spans="1:7" ht="60" customHeight="1">
      <c r="A128" s="14">
        <v>127</v>
      </c>
      <c r="B128" s="15" t="s">
        <v>24</v>
      </c>
      <c r="C128" s="12" t="str">
        <f>HYPERLINK("http://portal.genego.com/cgi/entity_page.cgi?term=20&amp;id=-1425093803","ATP2C2")</f>
        <v>ATP2C2</v>
      </c>
      <c r="D128" s="14" t="s">
        <v>11</v>
      </c>
      <c r="E128" s="12" t="str">
        <f>HYPERLINK("http://portal.genego.com/cgi/entity_page.cgi?term=100&amp;id=-2104968102","Calcium-transporting ATPase type 2C member 2")</f>
        <v>Calcium-transporting ATPase type 2C member 2</v>
      </c>
      <c r="F128" s="10">
        <v>-1.9119987440391799</v>
      </c>
      <c r="G128" s="11">
        <v>1.7439509999999998E-2</v>
      </c>
    </row>
    <row r="129" spans="1:7" ht="60" customHeight="1">
      <c r="A129" s="14">
        <v>128</v>
      </c>
      <c r="B129" s="15" t="s">
        <v>55</v>
      </c>
      <c r="C129" s="12" t="str">
        <f>HYPERLINK("http://portal.genego.com/cgi/entity_page.cgi?term=20&amp;id=-1257122635","CX3CR1")</f>
        <v>CX3CR1</v>
      </c>
      <c r="D129" s="14" t="s">
        <v>33</v>
      </c>
      <c r="E129" s="12" t="str">
        <f>HYPERLINK("http://portal.genego.com/cgi/entity_page.cgi?term=100&amp;id=-1237544307","CX3C chemokine receptor 1")</f>
        <v>CX3C chemokine receptor 1</v>
      </c>
      <c r="F129" s="10">
        <v>-1.9281853193412899</v>
      </c>
      <c r="G129" s="11">
        <v>4.792217E-2</v>
      </c>
    </row>
    <row r="130" spans="1:7" ht="60" customHeight="1">
      <c r="A130" s="14">
        <v>129</v>
      </c>
      <c r="B130" s="15" t="s">
        <v>229</v>
      </c>
      <c r="C130" s="12" t="str">
        <f>HYPERLINK("http://portal.genego.com/cgi/entity_page.cgi?term=20&amp;id=-2134074080","LOC100507008")</f>
        <v>LOC100507008</v>
      </c>
      <c r="D130" s="14"/>
      <c r="E130" s="12"/>
      <c r="F130" s="10">
        <v>-1.9334675894670501</v>
      </c>
      <c r="G130" s="11">
        <v>4.5748450000000003E-2</v>
      </c>
    </row>
    <row r="131" spans="1:7" ht="60" customHeight="1">
      <c r="A131" s="14">
        <v>130</v>
      </c>
      <c r="B131" s="15" t="s">
        <v>64</v>
      </c>
      <c r="C131" s="12" t="str">
        <f>HYPERLINK("http://portal.genego.com/cgi/entity_page.cgi?term=20&amp;id=217455525","DKK3")</f>
        <v>DKK3</v>
      </c>
      <c r="D131" s="14" t="s">
        <v>8</v>
      </c>
      <c r="E131" s="12" t="str">
        <f>HYPERLINK("http://portal.genego.com/cgi/entity_page.cgi?term=100&amp;id=-378695692","Dickkopf-related protein 3")</f>
        <v>Dickkopf-related protein 3</v>
      </c>
      <c r="F131" s="10">
        <v>-1.9446540072874801</v>
      </c>
      <c r="G131" s="11">
        <v>4.9832120000000001E-2</v>
      </c>
    </row>
    <row r="132" spans="1:7" ht="60" customHeight="1">
      <c r="A132" s="14">
        <v>131</v>
      </c>
      <c r="B132" s="15" t="s">
        <v>19</v>
      </c>
      <c r="C132" s="12" t="str">
        <f>HYPERLINK("http://portal.genego.com/cgi/entity_page.cgi?term=20&amp;id=-420180906","AOX1")</f>
        <v>AOX1</v>
      </c>
      <c r="D132" s="14" t="s">
        <v>13</v>
      </c>
      <c r="E132" s="12" t="str">
        <f>HYPERLINK("http://portal.genego.com/cgi/entity_page.cgi?term=100&amp;id=-686513816","Aldehyde oxidase")</f>
        <v>Aldehyde oxidase</v>
      </c>
      <c r="F132" s="10">
        <v>-1.95775802830864</v>
      </c>
      <c r="G132" s="11">
        <v>8.5499830000000006E-3</v>
      </c>
    </row>
    <row r="133" spans="1:7" ht="60" customHeight="1">
      <c r="A133" s="14">
        <v>132</v>
      </c>
      <c r="B133" s="15" t="s">
        <v>112</v>
      </c>
      <c r="C133" s="12" t="str">
        <f>HYPERLINK("http://portal.genego.com/cgi/entity_page.cgi?term=20&amp;id=-534102684","HOXD10")</f>
        <v>HOXD10</v>
      </c>
      <c r="D133" s="14" t="s">
        <v>66</v>
      </c>
      <c r="E133" s="12" t="str">
        <f>HYPERLINK("http://portal.genego.com/cgi/entity_page.cgi?term=100&amp;id=4269","Homeobox protein Hox-D10")</f>
        <v>Homeobox protein Hox-D10</v>
      </c>
      <c r="F133" s="10">
        <v>-2.00470861280031</v>
      </c>
      <c r="G133" s="11">
        <v>2.5881060000000002E-3</v>
      </c>
    </row>
    <row r="134" spans="1:7" ht="60" customHeight="1">
      <c r="A134" s="14">
        <v>133</v>
      </c>
      <c r="B134" s="15" t="s">
        <v>50</v>
      </c>
      <c r="C134" s="12" t="str">
        <f>HYPERLINK("http://portal.genego.com/cgi/entity_page.cgi?term=20&amp;id=-1040757656","CPLX3")</f>
        <v>CPLX3</v>
      </c>
      <c r="D134" s="14" t="s">
        <v>51</v>
      </c>
      <c r="E134" s="12" t="str">
        <f>HYPERLINK("http://portal.genego.com/cgi/entity_page.cgi?term=100&amp;id=-1482270793","Complexin-3")</f>
        <v>Complexin-3</v>
      </c>
      <c r="F134" s="10">
        <v>-2.0492013755237899</v>
      </c>
      <c r="G134" s="11">
        <v>1.9093499999999999E-2</v>
      </c>
    </row>
    <row r="135" spans="1:7" ht="60" customHeight="1">
      <c r="A135" s="14">
        <v>134</v>
      </c>
      <c r="B135" s="15" t="s">
        <v>57</v>
      </c>
      <c r="C135" s="12" t="str">
        <f>HYPERLINK("http://portal.genego.com/cgi/entity_page.cgi?term=20&amp;id=-324826097","CTSB")</f>
        <v>CTSB</v>
      </c>
      <c r="D135" s="14" t="s">
        <v>58</v>
      </c>
      <c r="E135" s="12" t="str">
        <f>HYPERLINK("http://portal.genego.com/cgi/entity_page.cgi?term=100&amp;id=-776807156","Cathepsin B")</f>
        <v>Cathepsin B</v>
      </c>
      <c r="F135" s="10">
        <v>-2.0508356979462299</v>
      </c>
      <c r="G135" s="11">
        <v>3.285091E-3</v>
      </c>
    </row>
    <row r="136" spans="1:7" ht="60" customHeight="1">
      <c r="A136" s="14">
        <v>135</v>
      </c>
      <c r="B136" s="15" t="s">
        <v>120</v>
      </c>
      <c r="C136" s="12" t="str">
        <f>HYPERLINK("http://portal.genego.com/cgi/entity_page.cgi?term=20&amp;id=55353","LAPTM4B")</f>
        <v>LAPTM4B</v>
      </c>
      <c r="D136" s="14" t="s">
        <v>21</v>
      </c>
      <c r="E136" s="12" t="str">
        <f>HYPERLINK("http://portal.genego.com/cgi/entity_page.cgi?term=100&amp;id=-1893427772","Lysosomal-associated transmembrane protein 4B")</f>
        <v>Lysosomal-associated transmembrane protein 4B</v>
      </c>
      <c r="F136" s="10">
        <v>-2.09979814794479</v>
      </c>
      <c r="G136" s="11">
        <v>2.6554439999999999E-2</v>
      </c>
    </row>
    <row r="137" spans="1:7" ht="60" customHeight="1">
      <c r="A137" s="14">
        <v>136</v>
      </c>
      <c r="B137" s="15" t="s">
        <v>206</v>
      </c>
      <c r="C137" s="12" t="str">
        <f>HYPERLINK("http://portal.genego.com/cgi/entity_page.cgi?term=20&amp;id=157848914","TUBA4A")</f>
        <v>TUBA4A</v>
      </c>
      <c r="D137" s="14" t="s">
        <v>8</v>
      </c>
      <c r="E137" s="12"/>
      <c r="F137" s="10">
        <v>-2.10818371421102</v>
      </c>
      <c r="G137" s="11">
        <v>1.5713319999999999E-2</v>
      </c>
    </row>
    <row r="138" spans="1:7" ht="60" customHeight="1">
      <c r="A138" s="14">
        <v>137</v>
      </c>
      <c r="B138" s="15" t="s">
        <v>54</v>
      </c>
      <c r="C138" s="12" t="str">
        <f>HYPERLINK("http://portal.genego.com/cgi/entity_page.cgi?term=20&amp;id=1818024990","CRYM")</f>
        <v>CRYM</v>
      </c>
      <c r="D138" s="14" t="s">
        <v>8</v>
      </c>
      <c r="E138" s="12" t="str">
        <f>HYPERLINK("http://portal.genego.com/cgi/entity_page.cgi?term=100&amp;id=-1042306958","Thiomorpholine-carboxylate dehydrogenase")</f>
        <v>Thiomorpholine-carboxylate dehydrogenase</v>
      </c>
      <c r="F138" s="10">
        <v>-2.1100243147714499</v>
      </c>
      <c r="G138" s="11">
        <v>1.6554699999999999E-2</v>
      </c>
    </row>
    <row r="139" spans="1:7" ht="60" customHeight="1">
      <c r="A139" s="14">
        <v>138</v>
      </c>
      <c r="B139" s="15" t="s">
        <v>124</v>
      </c>
      <c r="C139" s="12" t="str">
        <f>HYPERLINK("http://portal.genego.com/cgi/entity_page.cgi?term=20&amp;id=53343817","PPFIBP2")</f>
        <v>PPFIBP2</v>
      </c>
      <c r="D139" s="14" t="s">
        <v>8</v>
      </c>
      <c r="E139" s="12" t="str">
        <f>HYPERLINK("http://portal.genego.com/cgi/entity_page.cgi?term=100&amp;id=-897808506","Liprin-beta-2")</f>
        <v>Liprin-beta-2</v>
      </c>
      <c r="F139" s="10">
        <v>-2.1158958302712101</v>
      </c>
      <c r="G139" s="11">
        <v>3.285091E-3</v>
      </c>
    </row>
    <row r="140" spans="1:7" ht="60" customHeight="1">
      <c r="A140" s="14">
        <v>139</v>
      </c>
      <c r="B140" s="15" t="s">
        <v>97</v>
      </c>
      <c r="C140" s="12" t="str">
        <f>HYPERLINK("http://portal.genego.com/cgi/entity_page.cgi?term=20&amp;id=412130726","NR3C1")</f>
        <v>NR3C1</v>
      </c>
      <c r="D140" s="14" t="s">
        <v>66</v>
      </c>
      <c r="E140" s="12" t="str">
        <f>HYPERLINK("http://portal.genego.com/cgi/entity_page.cgi?term=100&amp;id=4259","Glucocorticoid receptor")</f>
        <v>Glucocorticoid receptor</v>
      </c>
      <c r="F140" s="10">
        <v>-2.1476149255264101</v>
      </c>
      <c r="G140" s="11">
        <v>3.056847E-2</v>
      </c>
    </row>
    <row r="141" spans="1:7" ht="60" customHeight="1">
      <c r="A141" s="14">
        <v>140</v>
      </c>
      <c r="B141" s="15" t="s">
        <v>73</v>
      </c>
      <c r="C141" s="12" t="str">
        <f>HYPERLINK("http://portal.genego.com/cgi/entity_page.cgi?term=20&amp;id=-1141188208","ENTPD3")</f>
        <v>ENTPD3</v>
      </c>
      <c r="D141" s="14" t="s">
        <v>13</v>
      </c>
      <c r="E141" s="12" t="str">
        <f>HYPERLINK("http://portal.genego.com/cgi/entity_page.cgi?term=100&amp;id=-582553959","Ectonucleoside triphosphate diphosphohydrolase 3")</f>
        <v>Ectonucleoside triphosphate diphosphohydrolase 3</v>
      </c>
      <c r="F141" s="10">
        <v>-2.1658498427423698</v>
      </c>
      <c r="G141" s="11">
        <v>1.3673029999999999E-2</v>
      </c>
    </row>
    <row r="142" spans="1:7" ht="60" customHeight="1">
      <c r="A142" s="14">
        <v>141</v>
      </c>
      <c r="B142" s="15" t="s">
        <v>110</v>
      </c>
      <c r="C142" s="12" t="str">
        <f>HYPERLINK("http://portal.genego.com/cgi/entity_page.cgi?term=20&amp;id=-716386628","HLA-E")</f>
        <v>HLA-E</v>
      </c>
      <c r="D142" s="14" t="s">
        <v>106</v>
      </c>
      <c r="E142" s="12" t="str">
        <f>HYPERLINK("http://portal.genego.com/cgi/entity_page.cgi?term=100&amp;id=353","HLA class I histocompatibility antigen, alpha chain E")</f>
        <v>HLA class I histocompatibility antigen, alpha chain E</v>
      </c>
      <c r="F142" s="10">
        <v>-2.1800366580269399</v>
      </c>
      <c r="G142" s="11">
        <v>3.3201149999999999E-2</v>
      </c>
    </row>
    <row r="143" spans="1:7" ht="60" customHeight="1">
      <c r="A143" s="14">
        <v>142</v>
      </c>
      <c r="B143" s="15" t="s">
        <v>217</v>
      </c>
      <c r="C143" s="12" t="str">
        <f>HYPERLINK("http://portal.genego.com/cgi/entity_page.cgi?term=20&amp;id=1689006308","ZBTB20")</f>
        <v>ZBTB20</v>
      </c>
      <c r="D143" s="14" t="s">
        <v>8</v>
      </c>
      <c r="E143" s="12" t="str">
        <f>HYPERLINK("http://portal.genego.com/cgi/entity_page.cgi?term=100&amp;id=-661331638","Zinc finger and BTB domain-containing protein 20")</f>
        <v>Zinc finger and BTB domain-containing protein 20</v>
      </c>
      <c r="F143" s="10">
        <v>-2.1852557275727098</v>
      </c>
      <c r="G143" s="11">
        <v>1.934367E-2</v>
      </c>
    </row>
    <row r="144" spans="1:7" ht="60" customHeight="1">
      <c r="A144" s="14">
        <v>143</v>
      </c>
      <c r="B144" s="15" t="s">
        <v>101</v>
      </c>
      <c r="C144" s="12" t="str">
        <f>HYPERLINK("http://portal.genego.com/cgi/entity_page.cgi?term=20&amp;id=-1718543100","GNPTAB")</f>
        <v>GNPTAB</v>
      </c>
      <c r="D144" s="14" t="s">
        <v>13</v>
      </c>
      <c r="E144" s="12" t="str">
        <f>HYPERLINK("http://portal.genego.com/cgi/entity_page.cgi?term=100&amp;id=-1044812781","N-acetylglucosamine-1-phosphotransferase subunits alpha/beta")</f>
        <v>N-acetylglucosamine-1-phosphotransferase subunits alpha/beta</v>
      </c>
      <c r="F144" s="10">
        <v>-2.1953292055801299</v>
      </c>
      <c r="G144" s="11">
        <v>1.851214E-2</v>
      </c>
    </row>
    <row r="145" spans="1:7" ht="60" customHeight="1">
      <c r="A145" s="14">
        <v>144</v>
      </c>
      <c r="B145" s="15" t="s">
        <v>52</v>
      </c>
      <c r="C145" s="12" t="str">
        <f>HYPERLINK("http://portal.genego.com/cgi/entity_page.cgi?term=20&amp;id=83716","CRISPLD2")</f>
        <v>CRISPLD2</v>
      </c>
      <c r="D145" s="14" t="s">
        <v>8</v>
      </c>
      <c r="E145" s="12" t="str">
        <f>HYPERLINK("http://portal.genego.com/cgi/entity_page.cgi?term=100&amp;id=-1559475188","Cysteine-rich secretory protein LCCL domain-containing 2")</f>
        <v>Cysteine-rich secretory protein LCCL domain-containing 2</v>
      </c>
      <c r="F145" s="10">
        <v>-2.2705497480074399</v>
      </c>
      <c r="G145" s="11">
        <v>1.66351E-2</v>
      </c>
    </row>
    <row r="146" spans="1:7" ht="60" customHeight="1">
      <c r="A146" s="14">
        <v>145</v>
      </c>
      <c r="B146" s="15" t="s">
        <v>135</v>
      </c>
      <c r="C146" s="12" t="str">
        <f>HYPERLINK("http://portal.genego.com/cgi/entity_page.cgi?term=20&amp;id=25878","MXRA5")</f>
        <v>MXRA5</v>
      </c>
      <c r="D146" s="14" t="s">
        <v>8</v>
      </c>
      <c r="E146" s="12" t="str">
        <f>HYPERLINK("http://portal.genego.com/cgi/entity_page.cgi?term=100&amp;id=-288851154","Matrix-remodeling-associated protein 5")</f>
        <v>Matrix-remodeling-associated protein 5</v>
      </c>
      <c r="F146" s="10">
        <v>-2.2855712255042802</v>
      </c>
      <c r="G146" s="11">
        <v>3.4901370000000001E-2</v>
      </c>
    </row>
    <row r="147" spans="1:7" ht="60" customHeight="1">
      <c r="A147" s="14">
        <v>146</v>
      </c>
      <c r="B147" s="15" t="s">
        <v>117</v>
      </c>
      <c r="C147" s="12" t="str">
        <f>HYPERLINK("http://portal.genego.com/cgi/entity_page.cgi?term=20&amp;id=114818","KLHL29")</f>
        <v>KLHL29</v>
      </c>
      <c r="D147" s="14" t="s">
        <v>8</v>
      </c>
      <c r="E147" s="12" t="str">
        <f>HYPERLINK("http://portal.genego.com/cgi/entity_page.cgi?term=100&amp;id=-1842608027","Kelch-like protein 29")</f>
        <v>Kelch-like protein 29</v>
      </c>
      <c r="F147" s="10">
        <v>-2.2857196726303601</v>
      </c>
      <c r="G147" s="11">
        <v>3.1145909999999999E-2</v>
      </c>
    </row>
    <row r="148" spans="1:7" ht="60" customHeight="1">
      <c r="A148" s="14">
        <v>147</v>
      </c>
      <c r="B148" s="15" t="s">
        <v>208</v>
      </c>
      <c r="C148" s="12" t="str">
        <f>HYPERLINK("http://portal.genego.com/cgi/entity_page.cgi?term=20&amp;id=49857","UHRF2")</f>
        <v>UHRF2</v>
      </c>
      <c r="D148" s="14" t="s">
        <v>13</v>
      </c>
      <c r="E148" s="12" t="str">
        <f>HYPERLINK("http://portal.genego.com/cgi/entity_page.cgi?term=100&amp;id=-900482242","E3 ubiquitin-protein ligase UHRF2")</f>
        <v>E3 ubiquitin-protein ligase UHRF2</v>
      </c>
      <c r="F148" s="10">
        <v>-2.3496417811831001</v>
      </c>
      <c r="G148" s="11">
        <v>1.714191E-2</v>
      </c>
    </row>
    <row r="149" spans="1:7" ht="60" customHeight="1">
      <c r="A149" s="14">
        <v>148</v>
      </c>
      <c r="B149" s="15" t="s">
        <v>141</v>
      </c>
      <c r="C149" s="12" t="str">
        <f>HYPERLINK("http://portal.genego.com/cgi/entity_page.cgi?term=20&amp;id=813575047","NAT1")</f>
        <v>NAT1</v>
      </c>
      <c r="D149" s="14" t="s">
        <v>13</v>
      </c>
      <c r="E149" s="12" t="str">
        <f>HYPERLINK("http://portal.genego.com/cgi/entity_page.cgi?term=100&amp;id=9290","Arylamine N-acetyltransferase 1")</f>
        <v>Arylamine N-acetyltransferase 1</v>
      </c>
      <c r="F149" s="10">
        <v>-2.40688534108991</v>
      </c>
      <c r="G149" s="11">
        <v>4.6873030000000003E-3</v>
      </c>
    </row>
    <row r="150" spans="1:7" ht="60" customHeight="1">
      <c r="A150" s="14">
        <v>149</v>
      </c>
      <c r="B150" s="15" t="s">
        <v>56</v>
      </c>
      <c r="C150" s="12" t="str">
        <f>HYPERLINK("http://portal.genego.com/cgi/entity_page.cgi?term=20&amp;id=-474312479","CYP3A5")</f>
        <v>CYP3A5</v>
      </c>
      <c r="D150" s="14" t="s">
        <v>13</v>
      </c>
      <c r="E150" s="12" t="str">
        <f>HYPERLINK("http://portal.genego.com/cgi/entity_page.cgi?term=100&amp;id=-795368488","Cytochrome P450 3A5")</f>
        <v>Cytochrome P450 3A5</v>
      </c>
      <c r="F150" s="10">
        <v>-2.4324836077089902</v>
      </c>
      <c r="G150" s="11">
        <v>4.6609720000000002E-3</v>
      </c>
    </row>
    <row r="151" spans="1:7" ht="60" customHeight="1">
      <c r="A151" s="14">
        <v>150</v>
      </c>
      <c r="B151" s="15" t="s">
        <v>114</v>
      </c>
      <c r="C151" s="12" t="str">
        <f>HYPERLINK("http://portal.genego.com/cgi/entity_page.cgi?term=20&amp;id=-125261563","ID3")</f>
        <v>ID3</v>
      </c>
      <c r="D151" s="14" t="s">
        <v>8</v>
      </c>
      <c r="E151" s="12" t="str">
        <f>HYPERLINK("http://portal.genego.com/cgi/entity_page.cgi?term=100&amp;id=-1079323038","DNA-binding protein inhibitor ID-3")</f>
        <v>DNA-binding protein inhibitor ID-3</v>
      </c>
      <c r="F151" s="10">
        <v>-2.45549966927027</v>
      </c>
      <c r="G151" s="11">
        <v>1.5833839999999998E-2</v>
      </c>
    </row>
    <row r="152" spans="1:7" ht="60" customHeight="1">
      <c r="A152" s="14">
        <v>151</v>
      </c>
      <c r="B152" s="15" t="s">
        <v>81</v>
      </c>
      <c r="C152" s="12" t="str">
        <f>HYPERLINK("http://portal.genego.com/cgi/entity_page.cgi?term=20&amp;id=-1640392875","FAM110C")</f>
        <v>FAM110C</v>
      </c>
      <c r="D152" s="14" t="s">
        <v>21</v>
      </c>
      <c r="E152" s="12" t="str">
        <f>HYPERLINK("http://portal.genego.com/cgi/entity_page.cgi?term=100&amp;id=-86110023","Protein FAM110C")</f>
        <v>Protein FAM110C</v>
      </c>
      <c r="F152" s="10">
        <v>-2.4597023621181</v>
      </c>
      <c r="G152" s="11">
        <v>3.7002800000000002E-2</v>
      </c>
    </row>
    <row r="153" spans="1:7" ht="60" customHeight="1">
      <c r="A153" s="14">
        <v>152</v>
      </c>
      <c r="B153" s="15" t="s">
        <v>222</v>
      </c>
      <c r="C153" s="12" t="str">
        <f>HYPERLINK("http://portal.genego.com/cgi/entity_page.cgi?term=20&amp;id=-903684078","CPAMD8")</f>
        <v>CPAMD8</v>
      </c>
      <c r="D153" s="14" t="s">
        <v>8</v>
      </c>
      <c r="E153" s="12" t="str">
        <f>HYPERLINK("http://portal.genego.com/cgi/entity_page.cgi?term=100&amp;id=-95238789","C3 and PZP-like alpha-2-macroglobulin domain-containing protein 8")</f>
        <v>C3 and PZP-like alpha-2-macroglobulin domain-containing protein 8</v>
      </c>
      <c r="F153" s="10">
        <v>-2.47677405741624</v>
      </c>
      <c r="G153" s="11">
        <v>1.6447409999999999E-2</v>
      </c>
    </row>
    <row r="154" spans="1:7" ht="60" customHeight="1">
      <c r="A154" s="14">
        <v>153</v>
      </c>
      <c r="B154" s="15" t="s">
        <v>209</v>
      </c>
      <c r="C154" s="12" t="str">
        <f>HYPERLINK("http://portal.genego.com/cgi/entity_page.cgi?term=20&amp;id=2115628953","UNC5B")</f>
        <v>UNC5B</v>
      </c>
      <c r="D154" s="14" t="s">
        <v>106</v>
      </c>
      <c r="E154" s="12" t="str">
        <f>HYPERLINK("http://portal.genego.com/cgi/entity_page.cgi?term=100&amp;id=-1796657953","Netrin receptor UNC5B")</f>
        <v>Netrin receptor UNC5B</v>
      </c>
      <c r="F154" s="10">
        <v>-2.4845914062158498</v>
      </c>
      <c r="G154" s="11">
        <v>3.034245E-2</v>
      </c>
    </row>
    <row r="155" spans="1:7" ht="60" customHeight="1">
      <c r="A155" s="14">
        <v>154</v>
      </c>
      <c r="B155" s="15" t="s">
        <v>27</v>
      </c>
      <c r="C155" s="12" t="str">
        <f>HYPERLINK("http://portal.genego.com/cgi/entity_page.cgi?term=20&amp;id=-1231190669","ADD3")</f>
        <v>ADD3</v>
      </c>
      <c r="D155" s="14" t="s">
        <v>8</v>
      </c>
      <c r="E155" s="12"/>
      <c r="F155" s="10">
        <v>-2.4978235738716701</v>
      </c>
      <c r="G155" s="11">
        <v>3.5737600000000001E-2</v>
      </c>
    </row>
    <row r="156" spans="1:7" ht="60" customHeight="1">
      <c r="A156" s="14">
        <v>155</v>
      </c>
      <c r="B156" s="15" t="s">
        <v>139</v>
      </c>
      <c r="C156" s="12" t="str">
        <f>HYPERLINK("http://portal.genego.com/cgi/entity_page.cgi?term=20&amp;id=1415728245","MYOF")</f>
        <v>MYOF</v>
      </c>
      <c r="D156" s="14" t="s">
        <v>8</v>
      </c>
      <c r="E156" s="12" t="str">
        <f>HYPERLINK("http://portal.genego.com/cgi/entity_page.cgi?term=100&amp;id=-1899148909","Myoferlin")</f>
        <v>Myoferlin</v>
      </c>
      <c r="F156" s="10">
        <v>-2.5355296369464599</v>
      </c>
      <c r="G156" s="11">
        <v>7.5060229999999995E-4</v>
      </c>
    </row>
    <row r="157" spans="1:7" ht="60" customHeight="1">
      <c r="A157" s="14">
        <v>156</v>
      </c>
      <c r="B157" s="15" t="s">
        <v>155</v>
      </c>
      <c r="C157" s="12" t="str">
        <f>HYPERLINK("http://portal.genego.com/cgi/entity_page.cgi?term=20&amp;id=55003","PAK1IP1")</f>
        <v>PAK1IP1</v>
      </c>
      <c r="D157" s="14" t="s">
        <v>21</v>
      </c>
      <c r="E157" s="12" t="str">
        <f>HYPERLINK("http://portal.genego.com/cgi/entity_page.cgi?term=100&amp;id=1021131","p21-activated protein kinase-interacting protein 1")</f>
        <v>p21-activated protein kinase-interacting protein 1</v>
      </c>
      <c r="F157" s="10">
        <v>-2.5719010164474998</v>
      </c>
      <c r="G157" s="11">
        <v>1.2660670000000001E-2</v>
      </c>
    </row>
    <row r="158" spans="1:7" ht="60" customHeight="1">
      <c r="A158" s="14">
        <v>157</v>
      </c>
      <c r="B158" s="15" t="s">
        <v>16</v>
      </c>
      <c r="C158" s="12" t="str">
        <f>HYPERLINK("http://portal.genego.com/cgi/entity_page.cgi?term=20&amp;id=851702488","ALDH2")</f>
        <v>ALDH2</v>
      </c>
      <c r="D158" s="14" t="s">
        <v>13</v>
      </c>
      <c r="E158" s="12" t="str">
        <f>HYPERLINK("http://portal.genego.com/cgi/entity_page.cgi?term=100&amp;id=-1841693339","Aldehyde dehydrogenase, mitochondrial")</f>
        <v>Aldehyde dehydrogenase, mitochondrial</v>
      </c>
      <c r="F158" s="10">
        <v>-2.5727306888305201</v>
      </c>
      <c r="G158" s="11">
        <v>5.1581390000000004E-4</v>
      </c>
    </row>
    <row r="159" spans="1:7" ht="60" customHeight="1">
      <c r="A159" s="14">
        <v>158</v>
      </c>
      <c r="B159" s="15" t="s">
        <v>115</v>
      </c>
      <c r="C159" s="12" t="str">
        <f>HYPERLINK("http://portal.genego.com/cgi/entity_page.cgi?term=20&amp;id=364853657","ID4")</f>
        <v>ID4</v>
      </c>
      <c r="D159" s="14" t="s">
        <v>8</v>
      </c>
      <c r="E159" s="12" t="str">
        <f>HYPERLINK("http://portal.genego.com/cgi/entity_page.cgi?term=100&amp;id=-56674561","DNA-binding protein inhibitor ID-4")</f>
        <v>DNA-binding protein inhibitor ID-4</v>
      </c>
      <c r="F159" s="10">
        <v>-2.5794854984145399</v>
      </c>
      <c r="G159" s="11">
        <v>3.285091E-3</v>
      </c>
    </row>
    <row r="160" spans="1:7" ht="60" customHeight="1">
      <c r="A160" s="14">
        <v>159</v>
      </c>
      <c r="B160" s="15" t="s">
        <v>221</v>
      </c>
      <c r="C160" s="12" t="str">
        <f>HYPERLINK("http://portal.genego.com/cgi/entity_page.cgi?term=20&amp;id=152485","ZNF827")</f>
        <v>ZNF827</v>
      </c>
      <c r="D160" s="14" t="s">
        <v>8</v>
      </c>
      <c r="E160" s="12" t="str">
        <f>HYPERLINK("http://portal.genego.com/cgi/entity_page.cgi?term=100&amp;id=-1330460284","Zinc finger protein 827")</f>
        <v>Zinc finger protein 827</v>
      </c>
      <c r="F160" s="10">
        <v>-2.5804697786145701</v>
      </c>
      <c r="G160" s="11">
        <v>3.1145909999999999E-2</v>
      </c>
    </row>
    <row r="161" spans="1:7" ht="60" customHeight="1">
      <c r="A161" s="14">
        <v>160</v>
      </c>
      <c r="B161" s="15" t="s">
        <v>35</v>
      </c>
      <c r="C161" s="12" t="str">
        <f>HYPERLINK("http://portal.genego.com/cgi/entity_page.cgi?term=20&amp;id=-185933813","FAM176C")</f>
        <v>FAM176C</v>
      </c>
      <c r="D161" s="14" t="s">
        <v>8</v>
      </c>
      <c r="E161" s="12" t="str">
        <f>HYPERLINK("http://portal.genego.com/cgi/entity_page.cgi?term=100&amp;id=-1447225671","Protein FAM176C")</f>
        <v>Protein FAM176C</v>
      </c>
      <c r="F161" s="10">
        <v>-2.64480148050938</v>
      </c>
      <c r="G161" s="11">
        <v>4.0383339999999997E-2</v>
      </c>
    </row>
    <row r="162" spans="1:7" ht="60" customHeight="1">
      <c r="A162" s="14">
        <v>161</v>
      </c>
      <c r="B162" s="15" t="s">
        <v>225</v>
      </c>
      <c r="C162" s="12" t="str">
        <f>HYPERLINK("http://portal.genego.com/cgi/entity_page.cgi?term=20&amp;id=-407284043","LOC100130232")</f>
        <v>LOC100130232</v>
      </c>
      <c r="D162" s="14"/>
      <c r="E162" s="12"/>
      <c r="F162" s="10">
        <v>-2.6650942396742101</v>
      </c>
      <c r="G162" s="11">
        <v>1.675397E-2</v>
      </c>
    </row>
    <row r="163" spans="1:7" ht="60" customHeight="1">
      <c r="A163" s="14">
        <v>162</v>
      </c>
      <c r="B163" s="15" t="s">
        <v>45</v>
      </c>
      <c r="C163" s="12" t="str">
        <f>HYPERLINK("http://portal.genego.com/cgi/entity_page.cgi?term=20&amp;id=-766967233","CD38")</f>
        <v>CD38</v>
      </c>
      <c r="D163" s="14" t="s">
        <v>13</v>
      </c>
      <c r="E163" s="12" t="str">
        <f>HYPERLINK("http://portal.genego.com/cgi/entity_page.cgi?term=100&amp;id=27","ADP-ribosyl cyclase 1")</f>
        <v>ADP-ribosyl cyclase 1</v>
      </c>
      <c r="F163" s="10">
        <v>-2.7718088700758301</v>
      </c>
      <c r="G163" s="11">
        <v>3.1257149999999997E-2</v>
      </c>
    </row>
    <row r="164" spans="1:7" ht="60" customHeight="1">
      <c r="A164" s="14">
        <v>163</v>
      </c>
      <c r="B164" s="15" t="s">
        <v>41</v>
      </c>
      <c r="C164" s="12" t="str">
        <f>HYPERLINK("http://portal.genego.com/cgi/entity_page.cgi?term=20&amp;id=-1496950905","CCK")</f>
        <v>CCK</v>
      </c>
      <c r="D164" s="14" t="s">
        <v>42</v>
      </c>
      <c r="E164" s="12" t="str">
        <f>HYPERLINK("http://portal.genego.com/cgi/entity_page.cgi?term=100&amp;id=-916044829","Cholecystokinin")</f>
        <v>Cholecystokinin</v>
      </c>
      <c r="F164" s="10">
        <v>-2.8432593728666</v>
      </c>
      <c r="G164" s="11">
        <v>1.2447359999999999E-2</v>
      </c>
    </row>
    <row r="165" spans="1:7" ht="60" customHeight="1">
      <c r="A165" s="14">
        <v>164</v>
      </c>
      <c r="B165" s="15" t="s">
        <v>177</v>
      </c>
      <c r="C165" s="12" t="str">
        <f>HYPERLINK("http://portal.genego.com/cgi/entity_page.cgi?term=20&amp;id=59342","SCPEP1")</f>
        <v>SCPEP1</v>
      </c>
      <c r="D165" s="14" t="s">
        <v>58</v>
      </c>
      <c r="E165" s="12" t="str">
        <f>HYPERLINK("http://portal.genego.com/cgi/entity_page.cgi?term=100&amp;id=-349196966","Retinoid-inducible serine carboxypeptidase")</f>
        <v>Retinoid-inducible serine carboxypeptidase</v>
      </c>
      <c r="F165" s="10">
        <v>-2.8515113809257802</v>
      </c>
      <c r="G165" s="11">
        <v>6.8169759999999998E-3</v>
      </c>
    </row>
    <row r="166" spans="1:7" ht="60" customHeight="1">
      <c r="A166" s="14">
        <v>165</v>
      </c>
      <c r="B166" s="15" t="s">
        <v>198</v>
      </c>
      <c r="C166" s="12" t="str">
        <f>HYPERLINK("http://portal.genego.com/cgi/entity_page.cgi?term=20&amp;id=23066","CAND2")</f>
        <v>CAND2</v>
      </c>
      <c r="D166" s="14" t="s">
        <v>8</v>
      </c>
      <c r="E166" s="12" t="str">
        <f>HYPERLINK("http://portal.genego.com/cgi/entity_page.cgi?term=100&amp;id=-1195304792","Cullin-associated NEDD8-dissociated protein 2")</f>
        <v>Cullin-associated NEDD8-dissociated protein 2</v>
      </c>
      <c r="F166" s="10">
        <v>-2.85762602096796</v>
      </c>
      <c r="G166" s="11">
        <v>8.5499830000000006E-3</v>
      </c>
    </row>
    <row r="167" spans="1:7" ht="60" customHeight="1">
      <c r="A167" s="14">
        <v>166</v>
      </c>
      <c r="B167" s="15" t="s">
        <v>20</v>
      </c>
      <c r="C167" s="12" t="str">
        <f>HYPERLINK("http://portal.genego.com/cgi/entity_page.cgi?term=20&amp;id=-204671331","APCDD1")</f>
        <v>APCDD1</v>
      </c>
      <c r="D167" s="14" t="s">
        <v>21</v>
      </c>
      <c r="E167" s="12" t="str">
        <f>HYPERLINK("http://portal.genego.com/cgi/entity_page.cgi?term=100&amp;id=-669967012","Protein APCDD1")</f>
        <v>Protein APCDD1</v>
      </c>
      <c r="F167" s="10">
        <v>-2.8594033839430399</v>
      </c>
      <c r="G167" s="11">
        <v>4.7323490000000003E-3</v>
      </c>
    </row>
    <row r="168" spans="1:7" ht="60" customHeight="1">
      <c r="A168" s="14">
        <v>167</v>
      </c>
      <c r="B168" s="15" t="s">
        <v>132</v>
      </c>
      <c r="C168" s="12" t="str">
        <f>HYPERLINK("http://portal.genego.com/cgi/entity_page.cgi?term=20&amp;id=703685090","MPPED2")</f>
        <v>MPPED2</v>
      </c>
      <c r="D168" s="14" t="s">
        <v>13</v>
      </c>
      <c r="E168" s="12" t="str">
        <f>HYPERLINK("http://portal.genego.com/cgi/entity_page.cgi?term=100&amp;id=-2006537940","Metallophosphoesterase MPPED2")</f>
        <v>Metallophosphoesterase MPPED2</v>
      </c>
      <c r="F168" s="10">
        <v>-2.9049890489340502</v>
      </c>
      <c r="G168" s="11">
        <v>1.5801459999999999E-3</v>
      </c>
    </row>
    <row r="169" spans="1:7" ht="60" customHeight="1">
      <c r="A169" s="14">
        <v>168</v>
      </c>
      <c r="B169" s="15" t="s">
        <v>145</v>
      </c>
      <c r="C169" s="12" t="str">
        <f>HYPERLINK("http://portal.genego.com/cgi/entity_page.cgi?term=20&amp;id=123803","NTAN1")</f>
        <v>NTAN1</v>
      </c>
      <c r="D169" s="14" t="s">
        <v>13</v>
      </c>
      <c r="E169" s="12" t="str">
        <f>HYPERLINK("http://portal.genego.com/cgi/entity_page.cgi?term=100&amp;id=-1237124986","Protein N-terminal asparagine amidohydrolase")</f>
        <v>Protein N-terminal asparagine amidohydrolase</v>
      </c>
      <c r="F169" s="10">
        <v>-2.9302935677802799</v>
      </c>
      <c r="G169" s="11">
        <v>3.479523E-3</v>
      </c>
    </row>
    <row r="170" spans="1:7" ht="60" customHeight="1">
      <c r="A170" s="14">
        <v>169</v>
      </c>
      <c r="B170" s="15" t="s">
        <v>96</v>
      </c>
      <c r="C170" s="12" t="str">
        <f>HYPERLINK("http://portal.genego.com/cgi/entity_page.cgi?term=20&amp;id=1880140569","GCNT2")</f>
        <v>GCNT2</v>
      </c>
      <c r="D170" s="14" t="s">
        <v>13</v>
      </c>
      <c r="E170" s="12" t="str">
        <f>HYPERLINK("http://portal.genego.com/cgi/entity_page.cgi?term=100&amp;id=-1308710244","N-acetyllactosaminide beta-1,6-N-acetylglucosaminyl-transferase, isoform B")</f>
        <v>N-acetyllactosaminide beta-1,6-N-acetylglucosaminyl-transferase, isoform B</v>
      </c>
      <c r="F170" s="10">
        <v>-2.95047930642454</v>
      </c>
      <c r="G170" s="11">
        <v>7.5060229999999995E-4</v>
      </c>
    </row>
    <row r="171" spans="1:7" ht="60" customHeight="1">
      <c r="A171" s="14">
        <v>170</v>
      </c>
      <c r="B171" s="15" t="s">
        <v>216</v>
      </c>
      <c r="C171" s="12" t="str">
        <f>HYPERLINK("http://portal.genego.com/cgi/entity_page.cgi?term=20&amp;id=150244","ZDHHC8P1")</f>
        <v>ZDHHC8P1</v>
      </c>
      <c r="D171" s="14" t="s">
        <v>21</v>
      </c>
      <c r="E171" s="12" t="str">
        <f>HYPERLINK("http://portal.genego.com/cgi/entity_page.cgi?term=100&amp;id=-465156128","zinc finger, DHHC-type containing 8 pseudogene 1")</f>
        <v>zinc finger, DHHC-type containing 8 pseudogene 1</v>
      </c>
      <c r="F171" s="10">
        <v>-3.08716816384579</v>
      </c>
      <c r="G171" s="11">
        <v>6.0554860000000001E-4</v>
      </c>
    </row>
    <row r="172" spans="1:7" ht="60" customHeight="1">
      <c r="A172" s="14">
        <v>171</v>
      </c>
      <c r="B172" s="15" t="s">
        <v>79</v>
      </c>
      <c r="C172" s="12" t="str">
        <f>HYPERLINK("http://portal.genego.com/cgi/entity_page.cgi?term=20&amp;id=-1592900362","EFS")</f>
        <v>EFS</v>
      </c>
      <c r="D172" s="14" t="s">
        <v>8</v>
      </c>
      <c r="E172" s="12" t="str">
        <f>HYPERLINK("http://portal.genego.com/cgi/entity_page.cgi?term=100&amp;id=-74196934","Embryonal Fyn-associated substrate")</f>
        <v>Embryonal Fyn-associated substrate</v>
      </c>
      <c r="F172" s="10">
        <v>-3.0945315799948299</v>
      </c>
      <c r="G172" s="11">
        <v>2.9820619999999998E-5</v>
      </c>
    </row>
    <row r="173" spans="1:7" ht="60" customHeight="1">
      <c r="A173" s="14">
        <v>172</v>
      </c>
      <c r="B173" s="15" t="s">
        <v>89</v>
      </c>
      <c r="C173" s="12" t="str">
        <f>HYPERLINK("http://portal.genego.com/cgi/entity_page.cgi?term=20&amp;id=243679521","FOXQ1")</f>
        <v>FOXQ1</v>
      </c>
      <c r="D173" s="14" t="s">
        <v>66</v>
      </c>
      <c r="E173" s="12" t="str">
        <f>HYPERLINK("http://portal.genego.com/cgi/entity_page.cgi?term=100&amp;id=28","Forkhead box protein Q1")</f>
        <v>Forkhead box protein Q1</v>
      </c>
      <c r="F173" s="10">
        <v>-3.1178933994031302</v>
      </c>
      <c r="G173" s="11">
        <v>4.5185640000000001E-3</v>
      </c>
    </row>
    <row r="174" spans="1:7" ht="60" customHeight="1">
      <c r="A174" s="14">
        <v>173</v>
      </c>
      <c r="B174" s="15" t="s">
        <v>23</v>
      </c>
      <c r="C174" s="12" t="str">
        <f>HYPERLINK("http://portal.genego.com/cgi/entity_page.cgi?term=20&amp;id=60489","APOBEC3G")</f>
        <v>APOBEC3G</v>
      </c>
      <c r="D174" s="14" t="s">
        <v>8</v>
      </c>
      <c r="E174" s="12" t="str">
        <f>HYPERLINK("http://portal.genego.com/cgi/entity_page.cgi?term=100&amp;id=-1335300905","DNA dC-&gt;dU-editing enzyme APOBEC-3G")</f>
        <v>DNA dC-&gt;dU-editing enzyme APOBEC-3G</v>
      </c>
      <c r="F174" s="10">
        <v>-3.1619673064890299</v>
      </c>
      <c r="G174" s="11">
        <v>1.639171E-4</v>
      </c>
    </row>
    <row r="175" spans="1:7" ht="60" customHeight="1">
      <c r="A175" s="14">
        <v>174</v>
      </c>
      <c r="B175" s="15" t="s">
        <v>215</v>
      </c>
      <c r="C175" s="12" t="str">
        <f>HYPERLINK("http://portal.genego.com/cgi/entity_page.cgi?term=20&amp;id=79683","ZDHHC14")</f>
        <v>ZDHHC14</v>
      </c>
      <c r="D175" s="14" t="s">
        <v>13</v>
      </c>
      <c r="E175" s="12" t="str">
        <f>HYPERLINK("http://portal.genego.com/cgi/entity_page.cgi?term=100&amp;id=-1539303275","Probable palmitoyltransferase ZDHHC14")</f>
        <v>Probable palmitoyltransferase ZDHHC14</v>
      </c>
      <c r="F175" s="10">
        <v>-3.1703258038964899</v>
      </c>
      <c r="G175" s="11">
        <v>3.2589929999999999E-4</v>
      </c>
    </row>
    <row r="176" spans="1:7" ht="60" customHeight="1">
      <c r="A176" s="14">
        <v>175</v>
      </c>
      <c r="B176" s="15" t="s">
        <v>30</v>
      </c>
      <c r="C176" s="12" t="str">
        <f>HYPERLINK("http://portal.genego.com/cgi/entity_page.cgi?term=20&amp;id=23357012","BASP1")</f>
        <v>BASP1</v>
      </c>
      <c r="D176" s="14" t="s">
        <v>8</v>
      </c>
      <c r="E176" s="12" t="str">
        <f>HYPERLINK("http://portal.genego.com/cgi/entity_page.cgi?term=100&amp;id=-1877350184","Brain acid soluble protein 1")</f>
        <v>Brain acid soluble protein 1</v>
      </c>
      <c r="F176" s="9">
        <v>-3.3139550710966699</v>
      </c>
      <c r="G176" s="11">
        <v>5.8056260000000004E-3</v>
      </c>
    </row>
    <row r="177" spans="1:7" ht="60" customHeight="1">
      <c r="A177" s="14">
        <v>176</v>
      </c>
      <c r="B177" s="15" t="s">
        <v>176</v>
      </c>
      <c r="C177" s="12" t="str">
        <f>HYPERLINK("http://portal.genego.com/cgi/entity_page.cgi?term=20&amp;id=-299870649","MSMO1")</f>
        <v>MSMO1</v>
      </c>
      <c r="D177" s="14" t="s">
        <v>13</v>
      </c>
      <c r="E177" s="12" t="str">
        <f>HYPERLINK("http://portal.genego.com/cgi/entity_page.cgi?term=100&amp;id=-1512233861","Methylsterol monooxygenase 1")</f>
        <v>Methylsterol monooxygenase 1</v>
      </c>
      <c r="F177" s="9">
        <v>-3.3582913175038001</v>
      </c>
      <c r="G177" s="11">
        <v>1.491163E-2</v>
      </c>
    </row>
    <row r="178" spans="1:7" ht="60" customHeight="1">
      <c r="A178" s="14">
        <v>177</v>
      </c>
      <c r="B178" s="15" t="s">
        <v>18</v>
      </c>
      <c r="C178" s="12" t="str">
        <f>HYPERLINK("http://portal.genego.com/cgi/entity_page.cgi?term=20&amp;id=347902","AMIGO2")</f>
        <v>AMIGO2</v>
      </c>
      <c r="D178" s="14" t="s">
        <v>8</v>
      </c>
      <c r="E178" s="12" t="str">
        <f>HYPERLINK("http://portal.genego.com/cgi/entity_page.cgi?term=100&amp;id=-1110101373","Amphoterin-induced protein 2")</f>
        <v>Amphoterin-induced protein 2</v>
      </c>
      <c r="F178" s="9">
        <v>-3.4690720308395901</v>
      </c>
      <c r="G178" s="11">
        <v>4.7616119999999998E-2</v>
      </c>
    </row>
    <row r="179" spans="1:7" ht="60" customHeight="1">
      <c r="A179" s="14">
        <v>178</v>
      </c>
      <c r="B179" s="15" t="s">
        <v>118</v>
      </c>
      <c r="C179" s="12" t="str">
        <f>HYPERLINK("http://portal.genego.com/cgi/entity_page.cgi?term=20&amp;id=167585515","KRT23")</f>
        <v>KRT23</v>
      </c>
      <c r="D179" s="14" t="s">
        <v>8</v>
      </c>
      <c r="E179" s="12" t="str">
        <f>HYPERLINK("http://portal.genego.com/cgi/entity_page.cgi?term=100&amp;id=-421679422","Keratin, type I cytoskeletal 23")</f>
        <v>Keratin, type I cytoskeletal 23</v>
      </c>
      <c r="F179" s="9">
        <v>-3.6215569290696998</v>
      </c>
      <c r="G179" s="11">
        <v>2.970627E-3</v>
      </c>
    </row>
    <row r="180" spans="1:7" ht="60" customHeight="1">
      <c r="A180" s="14">
        <v>179</v>
      </c>
      <c r="B180" s="15" t="s">
        <v>146</v>
      </c>
      <c r="C180" s="12" t="str">
        <f>HYPERLINK("http://portal.genego.com/cgi/entity_page.cgi?term=20&amp;id=59277","NTN4")</f>
        <v>NTN4</v>
      </c>
      <c r="D180" s="14" t="s">
        <v>8</v>
      </c>
      <c r="E180" s="12" t="str">
        <f>HYPERLINK("http://portal.genego.com/cgi/entity_page.cgi?term=100&amp;id=-1289173221","Netrin-4")</f>
        <v>Netrin-4</v>
      </c>
      <c r="F180" s="9">
        <v>-3.9136592494303102</v>
      </c>
      <c r="G180" s="11">
        <v>1.11685E-2</v>
      </c>
    </row>
    <row r="181" spans="1:7" ht="60" customHeight="1">
      <c r="A181" s="14">
        <v>180</v>
      </c>
      <c r="B181" s="15" t="s">
        <v>85</v>
      </c>
      <c r="C181" s="12" t="str">
        <f>HYPERLINK("http://portal.genego.com/cgi/entity_page.cgi?term=20&amp;id=2047898977","FHL2")</f>
        <v>FHL2</v>
      </c>
      <c r="D181" s="14" t="s">
        <v>8</v>
      </c>
      <c r="E181" s="12" t="str">
        <f>HYPERLINK("http://portal.genego.com/cgi/entity_page.cgi?term=100&amp;id=2897","Four and a half LIM domains protein 2")</f>
        <v>Four and a half LIM domains protein 2</v>
      </c>
      <c r="F181" s="9">
        <v>-3.9543553898631099</v>
      </c>
      <c r="G181" s="11">
        <v>1.1889909999999999E-4</v>
      </c>
    </row>
    <row r="182" spans="1:7" ht="60" customHeight="1">
      <c r="A182" s="14">
        <v>181</v>
      </c>
      <c r="B182" s="15" t="s">
        <v>119</v>
      </c>
      <c r="C182" s="12" t="str">
        <f>HYPERLINK("http://portal.genego.com/cgi/entity_page.cgi?term=20&amp;id=-527814934","KRT15")</f>
        <v>KRT15</v>
      </c>
      <c r="D182" s="14" t="s">
        <v>8</v>
      </c>
      <c r="E182" s="12" t="str">
        <f>HYPERLINK("http://portal.genego.com/cgi/entity_page.cgi?term=100&amp;id=-1319318274","Keratin, type I cytoskeletal 15")</f>
        <v>Keratin, type I cytoskeletal 15</v>
      </c>
      <c r="F182" s="9">
        <v>-3.9773337678998102</v>
      </c>
      <c r="G182" s="11">
        <v>4.6609720000000002E-3</v>
      </c>
    </row>
    <row r="183" spans="1:7" ht="60" customHeight="1">
      <c r="A183" s="14">
        <v>182</v>
      </c>
      <c r="B183" s="15" t="s">
        <v>195</v>
      </c>
      <c r="C183" s="12" t="str">
        <f>HYPERLINK("http://portal.genego.com/cgi/entity_page.cgi?term=20&amp;id=-699777648","PLS3")</f>
        <v>PLS3</v>
      </c>
      <c r="D183" s="14" t="s">
        <v>8</v>
      </c>
      <c r="E183" s="12" t="str">
        <f>HYPERLINK("http://portal.genego.com/cgi/entity_page.cgi?term=100&amp;id=-1049137335","Plastin-3")</f>
        <v>Plastin-3</v>
      </c>
      <c r="F183" s="9">
        <v>-4.0061437899845904</v>
      </c>
      <c r="G183" s="11">
        <v>2.4274169999999999E-3</v>
      </c>
    </row>
    <row r="184" spans="1:7" ht="60" customHeight="1">
      <c r="A184" s="14">
        <v>183</v>
      </c>
      <c r="B184" s="15" t="s">
        <v>194</v>
      </c>
      <c r="C184" s="12" t="str">
        <f>HYPERLINK("http://portal.genego.com/cgi/entity_page.cgi?term=20&amp;id=1067801451","STOM")</f>
        <v>STOM</v>
      </c>
      <c r="D184" s="14" t="s">
        <v>8</v>
      </c>
      <c r="E184" s="12" t="str">
        <f>HYPERLINK("http://portal.genego.com/cgi/entity_page.cgi?term=100&amp;id=-1029832683","Erythrocyte band 7 integral membrane protein")</f>
        <v>Erythrocyte band 7 integral membrane protein</v>
      </c>
      <c r="F184" s="9">
        <v>-4.0273938618388199</v>
      </c>
      <c r="G184" s="11">
        <v>4.1077990000000002E-2</v>
      </c>
    </row>
    <row r="185" spans="1:7" ht="60" customHeight="1">
      <c r="A185" s="14">
        <v>184</v>
      </c>
      <c r="B185" s="15" t="s">
        <v>204</v>
      </c>
      <c r="C185" s="12" t="str">
        <f>HYPERLINK("http://portal.genego.com/cgi/entity_page.cgi?term=20&amp;id=-1985344531","PHLDA2")</f>
        <v>PHLDA2</v>
      </c>
      <c r="D185" s="14" t="s">
        <v>21</v>
      </c>
      <c r="E185" s="12" t="str">
        <f>HYPERLINK("http://portal.genego.com/cgi/entity_page.cgi?term=100&amp;id=2861","Pleckstrin homology-like domain family A member 2")</f>
        <v>Pleckstrin homology-like domain family A member 2</v>
      </c>
      <c r="F185" s="9">
        <v>-4.0590697434076901</v>
      </c>
      <c r="G185" s="11">
        <v>4.4192330000000002E-2</v>
      </c>
    </row>
    <row r="186" spans="1:7" ht="60" customHeight="1">
      <c r="A186" s="14">
        <v>185</v>
      </c>
      <c r="B186" s="15" t="s">
        <v>174</v>
      </c>
      <c r="C186" s="12" t="str">
        <f>HYPERLINK("http://portal.genego.com/cgi/entity_page.cgi?term=20&amp;id=-1331365163","RND3")</f>
        <v>RND3</v>
      </c>
      <c r="D186" s="14" t="s">
        <v>171</v>
      </c>
      <c r="E186" s="12" t="str">
        <f>HYPERLINK("http://portal.genego.com/cgi/entity_page.cgi?term=100&amp;id=-1881630366","Rho-related GTP-binding protein RhoE")</f>
        <v>Rho-related GTP-binding protein RhoE</v>
      </c>
      <c r="F186" s="9">
        <v>-4.0613584517665897</v>
      </c>
      <c r="G186" s="11">
        <v>3.1145909999999999E-2</v>
      </c>
    </row>
    <row r="187" spans="1:7" ht="60" customHeight="1">
      <c r="A187" s="14">
        <v>186</v>
      </c>
      <c r="B187" s="15" t="s">
        <v>47</v>
      </c>
      <c r="C187" s="12" t="str">
        <f>HYPERLINK("http://portal.genego.com/cgi/entity_page.cgi?term=20&amp;id=-1420396402","PDLIM1")</f>
        <v>PDLIM1</v>
      </c>
      <c r="D187" s="14" t="s">
        <v>8</v>
      </c>
      <c r="E187" s="12" t="str">
        <f>HYPERLINK("http://portal.genego.com/cgi/entity_page.cgi?term=100&amp;id=-1975351302","PDZ and LIM domain protein 1")</f>
        <v>PDZ and LIM domain protein 1</v>
      </c>
      <c r="F187" s="9">
        <v>-4.0884107286282596</v>
      </c>
      <c r="G187" s="11">
        <v>3.449921E-4</v>
      </c>
    </row>
    <row r="188" spans="1:7" ht="60" customHeight="1">
      <c r="A188" s="14">
        <v>187</v>
      </c>
      <c r="B188" s="15" t="s">
        <v>167</v>
      </c>
      <c r="C188" s="12" t="str">
        <f>HYPERLINK("http://portal.genego.com/cgi/entity_page.cgi?term=20&amp;id=28984","RGCC")</f>
        <v>RGCC</v>
      </c>
      <c r="D188" s="14" t="s">
        <v>8</v>
      </c>
      <c r="E188" s="12" t="str">
        <f>HYPERLINK("http://portal.genego.com/cgi/entity_page.cgi?term=100&amp;id=-1204305128","Regulator of cell cycle RGCC")</f>
        <v>Regulator of cell cycle RGCC</v>
      </c>
      <c r="F188" s="9">
        <v>-4.18868071715083</v>
      </c>
      <c r="G188" s="11">
        <v>1.851214E-2</v>
      </c>
    </row>
    <row r="189" spans="1:7" ht="60" customHeight="1">
      <c r="A189" s="14">
        <v>188</v>
      </c>
      <c r="B189" s="15" t="s">
        <v>53</v>
      </c>
      <c r="C189" s="12" t="str">
        <f>HYPERLINK("http://portal.genego.com/cgi/entity_page.cgi?term=20&amp;id=1989719918","CSRP2")</f>
        <v>CSRP2</v>
      </c>
      <c r="D189" s="14" t="s">
        <v>8</v>
      </c>
      <c r="E189" s="12" t="str">
        <f>HYPERLINK("http://portal.genego.com/cgi/entity_page.cgi?term=100&amp;id=-2110483914","Cysteine and glycine-rich protein 2")</f>
        <v>Cysteine and glycine-rich protein 2</v>
      </c>
      <c r="F189" s="9">
        <v>-4.2081688817268503</v>
      </c>
      <c r="G189" s="11">
        <v>1.1889909999999999E-4</v>
      </c>
    </row>
    <row r="190" spans="1:7" ht="60" customHeight="1">
      <c r="A190" s="14">
        <v>189</v>
      </c>
      <c r="B190" s="15" t="s">
        <v>128</v>
      </c>
      <c r="C190" s="12" t="str">
        <f>HYPERLINK("http://portal.genego.com/cgi/entity_page.cgi?term=20&amp;id=-1301315291","MEIS2")</f>
        <v>MEIS2</v>
      </c>
      <c r="D190" s="14" t="s">
        <v>66</v>
      </c>
      <c r="E190" s="12" t="str">
        <f>HYPERLINK("http://portal.genego.com/cgi/entity_page.cgi?term=100&amp;id=6279","Homeobox protein Meis2")</f>
        <v>Homeobox protein Meis2</v>
      </c>
      <c r="F190" s="9">
        <v>-4.3107934173084903</v>
      </c>
      <c r="G190" s="11">
        <v>4.6609720000000002E-3</v>
      </c>
    </row>
    <row r="191" spans="1:7" ht="60" customHeight="1">
      <c r="A191" s="14">
        <v>190</v>
      </c>
      <c r="B191" s="15" t="s">
        <v>62</v>
      </c>
      <c r="C191" s="12" t="str">
        <f>HYPERLINK("http://portal.genego.com/cgi/entity_page.cgi?term=20&amp;id=-1990595251","NBL1")</f>
        <v>NBL1</v>
      </c>
      <c r="D191" s="14" t="s">
        <v>8</v>
      </c>
      <c r="E191" s="12" t="str">
        <f>HYPERLINK("http://portal.genego.com/cgi/entity_page.cgi?term=100&amp;id=-1540471460","Neuroblastoma suppressor of tumorigenicity 1")</f>
        <v>Neuroblastoma suppressor of tumorigenicity 1</v>
      </c>
      <c r="F191" s="9">
        <v>-4.3645396007944397</v>
      </c>
      <c r="G191" s="11">
        <v>6.1501489999999997E-6</v>
      </c>
    </row>
    <row r="192" spans="1:7" ht="60" customHeight="1">
      <c r="A192" s="14">
        <v>191</v>
      </c>
      <c r="B192" s="15" t="s">
        <v>5</v>
      </c>
      <c r="C192" s="12" t="str">
        <f>HYPERLINK("http://portal.genego.com/cgi/entity_page.cgi?term=20&amp;id=-1569890759","SFN")</f>
        <v>SFN</v>
      </c>
      <c r="D192" s="14" t="s">
        <v>8</v>
      </c>
      <c r="E192" s="12"/>
      <c r="F192" s="9">
        <v>-4.4879082681241398</v>
      </c>
      <c r="G192" s="11">
        <v>3.9211159999999997E-3</v>
      </c>
    </row>
    <row r="193" spans="1:7" ht="60" customHeight="1">
      <c r="A193" s="14">
        <v>192</v>
      </c>
      <c r="B193" s="15" t="s">
        <v>61</v>
      </c>
      <c r="C193" s="12" t="str">
        <f>HYPERLINK("http://portal.genego.com/cgi/entity_page.cgi?term=20&amp;id=-1256651256","CSTA")</f>
        <v>CSTA</v>
      </c>
      <c r="D193" s="14" t="s">
        <v>8</v>
      </c>
      <c r="E193" s="12" t="str">
        <f>HYPERLINK("http://portal.genego.com/cgi/entity_page.cgi?term=100&amp;id=6080","Cystatin-A")</f>
        <v>Cystatin-A</v>
      </c>
      <c r="F193" s="9">
        <v>-4.5015770309017498</v>
      </c>
      <c r="G193" s="11">
        <v>2.9943230000000002E-4</v>
      </c>
    </row>
    <row r="194" spans="1:7" ht="60" customHeight="1">
      <c r="A194" s="14">
        <v>193</v>
      </c>
      <c r="B194" s="15" t="s">
        <v>107</v>
      </c>
      <c r="C194" s="12" t="str">
        <f>HYPERLINK("http://portal.genego.com/cgi/entity_page.cgi?term=20&amp;id=-1042067730","GMNN")</f>
        <v>GMNN</v>
      </c>
      <c r="D194" s="14" t="s">
        <v>8</v>
      </c>
      <c r="E194" s="12" t="str">
        <f>HYPERLINK("http://portal.genego.com/cgi/entity_page.cgi?term=100&amp;id=-16521942","Geminin")</f>
        <v>Geminin</v>
      </c>
      <c r="F194" s="9">
        <v>-4.6981608576333302</v>
      </c>
      <c r="G194" s="11">
        <v>3.9806609999999999E-3</v>
      </c>
    </row>
    <row r="195" spans="1:7" ht="60" customHeight="1">
      <c r="A195" s="14">
        <v>194</v>
      </c>
      <c r="B195" s="15" t="s">
        <v>147</v>
      </c>
      <c r="C195" s="12" t="str">
        <f>HYPERLINK("http://portal.genego.com/cgi/entity_page.cgi?term=20&amp;id=-788073262","MME")</f>
        <v>MME</v>
      </c>
      <c r="D195" s="14" t="s">
        <v>44</v>
      </c>
      <c r="E195" s="12" t="str">
        <f>HYPERLINK("http://portal.genego.com/cgi/entity_page.cgi?term=100&amp;id=6199","Neprilysin")</f>
        <v>Neprilysin</v>
      </c>
      <c r="F195" s="9">
        <v>-4.7878057438071897</v>
      </c>
      <c r="G195" s="11">
        <v>9.4755480000000003E-4</v>
      </c>
    </row>
    <row r="196" spans="1:7" ht="60" customHeight="1">
      <c r="A196" s="14">
        <v>195</v>
      </c>
      <c r="B196" s="15" t="s">
        <v>103</v>
      </c>
      <c r="C196" s="12" t="str">
        <f>HYPERLINK("http://portal.genego.com/cgi/entity_page.cgi?term=20&amp;id=23171","GPD1L")</f>
        <v>GPD1L</v>
      </c>
      <c r="D196" s="14" t="s">
        <v>13</v>
      </c>
      <c r="E196" s="12" t="str">
        <f>HYPERLINK("http://portal.genego.com/cgi/entity_page.cgi?term=100&amp;id=-500263537","Glycerol-3-phosphate dehydrogenase 1-like protein")</f>
        <v>Glycerol-3-phosphate dehydrogenase 1-like protein</v>
      </c>
      <c r="F196" s="9">
        <v>-4.8017091254177204</v>
      </c>
      <c r="G196" s="11">
        <v>3.9444010000000002E-2</v>
      </c>
    </row>
    <row r="197" spans="1:7" ht="60" customHeight="1">
      <c r="A197" s="14">
        <v>196</v>
      </c>
      <c r="B197" s="15" t="s">
        <v>43</v>
      </c>
      <c r="C197" s="12" t="str">
        <f>HYPERLINK("http://portal.genego.com/cgi/entity_page.cgi?term=20&amp;id=-118359145","ANPEP")</f>
        <v>ANPEP</v>
      </c>
      <c r="D197" s="14" t="s">
        <v>44</v>
      </c>
      <c r="E197" s="12" t="str">
        <f>HYPERLINK("http://portal.genego.com/cgi/entity_page.cgi?term=100&amp;id=-1665340243","Aminopeptidase N")</f>
        <v>Aminopeptidase N</v>
      </c>
      <c r="F197" s="9">
        <v>-5.0274936707482203</v>
      </c>
      <c r="G197" s="11">
        <v>2.7190500000000002E-4</v>
      </c>
    </row>
    <row r="198" spans="1:7" ht="60" customHeight="1">
      <c r="A198" s="14">
        <v>197</v>
      </c>
      <c r="B198" s="15" t="s">
        <v>48</v>
      </c>
      <c r="C198" s="12" t="str">
        <f>HYPERLINK("http://portal.genego.com/cgi/entity_page.cgi?term=20&amp;id=60594642","COL9A1")</f>
        <v>COL9A1</v>
      </c>
      <c r="D198" s="14" t="s">
        <v>8</v>
      </c>
      <c r="E198" s="12" t="str">
        <f>HYPERLINK("http://portal.genego.com/cgi/entity_page.cgi?term=100&amp;id=-1481067373","Collagen alpha-1(IX) chain")</f>
        <v>Collagen alpha-1(IX) chain</v>
      </c>
      <c r="F198" s="9">
        <v>-5.2057788623865298</v>
      </c>
      <c r="G198" s="11">
        <v>1.9332689999999999E-4</v>
      </c>
    </row>
    <row r="199" spans="1:7" ht="60" customHeight="1">
      <c r="A199" s="14">
        <v>198</v>
      </c>
      <c r="B199" s="15" t="s">
        <v>214</v>
      </c>
      <c r="C199" s="12" t="str">
        <f>HYPERLINK("http://portal.genego.com/cgi/entity_page.cgi?term=20&amp;id=731570339","WIF1")</f>
        <v>WIF1</v>
      </c>
      <c r="D199" s="14" t="s">
        <v>8</v>
      </c>
      <c r="E199" s="12" t="str">
        <f>HYPERLINK("http://portal.genego.com/cgi/entity_page.cgi?term=100&amp;id=2190","Wnt inhibitory factor 1")</f>
        <v>Wnt inhibitory factor 1</v>
      </c>
      <c r="F199" s="9">
        <v>-5.7543585767029901</v>
      </c>
      <c r="G199" s="11">
        <v>2.9988509999999999E-3</v>
      </c>
    </row>
    <row r="200" spans="1:7" ht="60" customHeight="1">
      <c r="A200" s="14">
        <v>199</v>
      </c>
      <c r="B200" s="15" t="s">
        <v>184</v>
      </c>
      <c r="C200" s="12" t="str">
        <f>HYPERLINK("http://portal.genego.com/cgi/entity_page.cgi?term=20&amp;id=-2122204770","SLC14A1")</f>
        <v>SLC14A1</v>
      </c>
      <c r="D200" s="14" t="s">
        <v>11</v>
      </c>
      <c r="E200" s="12" t="str">
        <f>HYPERLINK("http://portal.genego.com/cgi/entity_page.cgi?term=100&amp;id=-1359523651","Urea transporter 1")</f>
        <v>Urea transporter 1</v>
      </c>
      <c r="F200" s="9">
        <v>-6.1500843495563897</v>
      </c>
      <c r="G200" s="11">
        <v>7.3849299999999998E-6</v>
      </c>
    </row>
    <row r="201" spans="1:7" ht="60" customHeight="1">
      <c r="A201" s="14">
        <v>200</v>
      </c>
      <c r="B201" s="15" t="s">
        <v>105</v>
      </c>
      <c r="C201" s="12" t="str">
        <f>HYPERLINK("http://portal.genego.com/cgi/entity_page.cgi?term=20&amp;id=632567161","LGALS3")</f>
        <v>LGALS3</v>
      </c>
      <c r="D201" s="14" t="s">
        <v>8</v>
      </c>
      <c r="E201" s="12" t="str">
        <f>HYPERLINK("http://portal.genego.com/cgi/entity_page.cgi?term=100&amp;id=-1006487068","Galectin-3")</f>
        <v>Galectin-3</v>
      </c>
      <c r="F201" s="9">
        <v>-6.5004924414471903</v>
      </c>
      <c r="G201" s="11">
        <v>1.66351E-2</v>
      </c>
    </row>
    <row r="202" spans="1:7" ht="60" customHeight="1">
      <c r="A202" s="14">
        <v>201</v>
      </c>
      <c r="B202" s="15" t="s">
        <v>86</v>
      </c>
      <c r="C202" s="12" t="str">
        <f>HYPERLINK("http://portal.genego.com/cgi/entity_page.cgi?term=20&amp;id=1011713957","FLRT3")</f>
        <v>FLRT3</v>
      </c>
      <c r="D202" s="14" t="s">
        <v>8</v>
      </c>
      <c r="E202" s="12" t="str">
        <f>HYPERLINK("http://portal.genego.com/cgi/entity_page.cgi?term=100&amp;id=-1943196471","Leucine-rich repeat transmembrane protein FLRT3")</f>
        <v>Leucine-rich repeat transmembrane protein FLRT3</v>
      </c>
      <c r="F202" s="9">
        <v>-6.9442154015164501</v>
      </c>
      <c r="G202" s="11">
        <v>7.3849299999999998E-6</v>
      </c>
    </row>
    <row r="203" spans="1:7" ht="60" customHeight="1">
      <c r="A203" s="14">
        <v>202</v>
      </c>
      <c r="B203" s="15" t="s">
        <v>28</v>
      </c>
      <c r="C203" s="12" t="str">
        <f>HYPERLINK("http://portal.genego.com/cgi/entity_page.cgi?term=20&amp;id=887326971","ANXA2")</f>
        <v>ANXA2</v>
      </c>
      <c r="D203" s="14" t="s">
        <v>8</v>
      </c>
      <c r="E203" s="12" t="str">
        <f>HYPERLINK("http://portal.genego.com/cgi/entity_page.cgi?term=100&amp;id=8004","Annexin A2")</f>
        <v>Annexin A2</v>
      </c>
      <c r="F203" s="9">
        <v>-7.6125303245408604</v>
      </c>
      <c r="G203" s="11">
        <v>9.8128569999999995E-4</v>
      </c>
    </row>
    <row r="204" spans="1:7" ht="60" customHeight="1">
      <c r="A204" s="14">
        <v>203</v>
      </c>
      <c r="B204" s="15" t="s">
        <v>133</v>
      </c>
      <c r="C204" s="12" t="str">
        <f>HYPERLINK("http://portal.genego.com/cgi/entity_page.cgi?term=20&amp;id=-1088069192","MSMB")</f>
        <v>MSMB</v>
      </c>
      <c r="D204" s="14" t="s">
        <v>21</v>
      </c>
      <c r="E204" s="12" t="str">
        <f>HYPERLINK("http://portal.genego.com/cgi/entity_page.cgi?term=100&amp;id=-1416651576","Beta-microseminoprotein")</f>
        <v>Beta-microseminoprotein</v>
      </c>
      <c r="F204" s="9">
        <v>-9.5521248268406804</v>
      </c>
      <c r="G204" s="11">
        <v>5.700379E-4</v>
      </c>
    </row>
    <row r="205" spans="1:7" ht="60" customHeight="1">
      <c r="A205" s="14">
        <v>204</v>
      </c>
      <c r="B205" s="15" t="s">
        <v>130</v>
      </c>
      <c r="C205" s="12" t="str">
        <f>HYPERLINK("http://portal.genego.com/cgi/entity_page.cgi?term=20&amp;id=-1268049664","MIR205HG")</f>
        <v>MIR205HG</v>
      </c>
      <c r="D205" s="14" t="s">
        <v>21</v>
      </c>
      <c r="E205" s="12" t="str">
        <f>HYPERLINK("http://portal.genego.com/cgi/entity_page.cgi?term=100&amp;id=-836003615","MIR205 host gene (non-protein coding)")</f>
        <v>MIR205 host gene (non-protein coding)</v>
      </c>
      <c r="F205" s="8">
        <v>-15.086609930417801</v>
      </c>
      <c r="G205" s="11">
        <v>2.6588260000000001E-6</v>
      </c>
    </row>
    <row r="206" spans="1:7" ht="60" customHeight="1">
      <c r="A206" s="14">
        <v>205</v>
      </c>
      <c r="B206" s="15" t="s">
        <v>98</v>
      </c>
      <c r="C206" s="12" t="str">
        <f>HYPERLINK("http://portal.genego.com/cgi/entity_page.cgi?term=20&amp;id=1292746892","GDEP")</f>
        <v>GDEP</v>
      </c>
      <c r="D206" s="14" t="s">
        <v>21</v>
      </c>
      <c r="E206" s="12" t="str">
        <f>HYPERLINK("http://portal.genego.com/cgi/entity_page.cgi?term=100&amp;id=-1420285058","Gene differentially expressed in prostate protein")</f>
        <v>Gene differentially expressed in prostate protein</v>
      </c>
      <c r="F206" s="8">
        <v>-16.162211522224698</v>
      </c>
      <c r="G206" s="11">
        <v>5.4806509999999996E-3</v>
      </c>
    </row>
    <row r="207" spans="1:7" ht="60" customHeight="1">
      <c r="A207" s="14">
        <v>206</v>
      </c>
      <c r="B207" s="15" t="s">
        <v>60</v>
      </c>
      <c r="C207" s="12" t="str">
        <f>HYPERLINK("http://portal.genego.com/cgi/entity_page.cgi?term=20&amp;id=-1148678038","GJA1")</f>
        <v>GJA1</v>
      </c>
      <c r="D207" s="14" t="s">
        <v>11</v>
      </c>
      <c r="E207" s="12" t="str">
        <f>HYPERLINK("http://portal.genego.com/cgi/entity_page.cgi?term=100&amp;id=6355","Gap junction alpha-1 protein")</f>
        <v>Gap junction alpha-1 protein</v>
      </c>
      <c r="F207" s="7">
        <v>-16.845106206917201</v>
      </c>
      <c r="G207" s="11">
        <v>5.1581390000000004E-4</v>
      </c>
    </row>
    <row r="208" spans="1:7" ht="60" customHeight="1">
      <c r="A208" s="14">
        <v>207</v>
      </c>
      <c r="B208" s="15" t="s">
        <v>143</v>
      </c>
      <c r="C208" s="12" t="str">
        <f>HYPERLINK("http://portal.genego.com/cgi/entity_page.cgi?term=20&amp;id=1581765804","NEFH")</f>
        <v>NEFH</v>
      </c>
      <c r="D208" s="14" t="s">
        <v>8</v>
      </c>
      <c r="E208" s="12" t="str">
        <f>HYPERLINK("http://portal.genego.com/cgi/entity_page.cgi?term=100&amp;id=2481","Neurofilament heavy polypeptide")</f>
        <v>Neurofilament heavy polypeptide</v>
      </c>
      <c r="F208" s="6">
        <v>-45.486072592808299</v>
      </c>
      <c r="G208" s="11">
        <v>6.0711990000000002E-6</v>
      </c>
    </row>
  </sheetData>
  <autoFilter ref="A1:G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Report</vt:lpstr>
      <vt:lpstr>'List Report'!_FilterDatabase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Dubovenko, Aleksey (IP&amp;Science)</dc:creator>
  <cp:lastModifiedBy>skatta</cp:lastModifiedBy>
  <dcterms:created xsi:type="dcterms:W3CDTF">2013-03-27T14:19:05Z</dcterms:created>
  <dcterms:modified xsi:type="dcterms:W3CDTF">2015-03-31T15:25:04Z</dcterms:modified>
</cp:coreProperties>
</file>